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11970" windowHeight="3525" tabRatio="693" activeTab="0"/>
  </bookViews>
  <sheets>
    <sheet name="Qualifications" sheetId="1" r:id="rId1"/>
    <sheet name="Sélections" sheetId="2" r:id="rId2"/>
    <sheet name="Éliminations" sheetId="3" r:id="rId3"/>
    <sheet name="Résultats" sheetId="4" r:id="rId4"/>
  </sheets>
  <definedNames>
    <definedName name="Manche1Bleu">'Qualifications'!$I$17:$I$58</definedName>
    <definedName name="Manche1BleuAthletes">'Qualifications'!$I$17:$R$58</definedName>
    <definedName name="Manche1Rouge">'Qualifications'!$H$17:$H$58</definedName>
    <definedName name="Manche1RougeAthletes">'Qualifications'!$H$17:$R$58</definedName>
    <definedName name="Manche2Bleu">'Qualifications'!$M$17:$M$58</definedName>
    <definedName name="Manche2BleuAthletes">'Qualifications'!$M$17:$R$58</definedName>
    <definedName name="Manche2Rouge">'Qualifications'!$L$17:$L$58</definedName>
    <definedName name="Manche2RougeAthletes">'Qualifications'!$L$17:$R$58</definedName>
    <definedName name="_xlnm.Print_Area" localSheetId="0">'Qualifications'!$B$1:$N$63</definedName>
  </definedNames>
  <calcPr fullCalcOnLoad="1"/>
</workbook>
</file>

<file path=xl/sharedStrings.xml><?xml version="1.0" encoding="utf-8"?>
<sst xmlns="http://schemas.openxmlformats.org/spreadsheetml/2006/main" count="199" uniqueCount="58">
  <si>
    <t>Parallèle</t>
  </si>
  <si>
    <t>Dossard</t>
  </si>
  <si>
    <t>Nom</t>
  </si>
  <si>
    <t>Club</t>
  </si>
  <si>
    <t>Résultats officiels</t>
  </si>
  <si>
    <t>Huitième de finale</t>
  </si>
  <si>
    <t>Quart de finale</t>
  </si>
  <si>
    <t>Demi-finale</t>
  </si>
  <si>
    <t>Finale</t>
  </si>
  <si>
    <t>Manche-1</t>
  </si>
  <si>
    <t>Manche-2</t>
  </si>
  <si>
    <t>Différence</t>
  </si>
  <si>
    <t>Tableau des perdants des demi-finales</t>
  </si>
  <si>
    <t>DT:</t>
  </si>
  <si>
    <t>Jury</t>
  </si>
  <si>
    <t>Informations techniques</t>
  </si>
  <si>
    <t>Délégué technique:</t>
  </si>
  <si>
    <t>Piste:</t>
  </si>
  <si>
    <t>Arbitre:</t>
  </si>
  <si>
    <t>Élévation au départ:</t>
  </si>
  <si>
    <t>m</t>
  </si>
  <si>
    <t>Directeur d'épreuve:</t>
  </si>
  <si>
    <t>Élévation à l'arrivée:</t>
  </si>
  <si>
    <t>Homologation:</t>
  </si>
  <si>
    <t>n.a.</t>
  </si>
  <si>
    <t>Traceur:</t>
  </si>
  <si>
    <t>Nombre de portes:</t>
  </si>
  <si>
    <t>Ouvreurs de piste:</t>
  </si>
  <si>
    <t>Heure de départ:</t>
  </si>
  <si>
    <t>Température au départ:</t>
  </si>
  <si>
    <t>celcius</t>
  </si>
  <si>
    <t>Température à l'arrivée:</t>
  </si>
  <si>
    <t>Position</t>
  </si>
  <si>
    <t>Zone de ski de l'Estrie</t>
  </si>
  <si>
    <t>(Orford)</t>
  </si>
  <si>
    <t>Glen Mudie</t>
  </si>
  <si>
    <t>(Sutton)</t>
  </si>
  <si>
    <t>09h30</t>
  </si>
  <si>
    <t>Éliminations - Liste des participants</t>
  </si>
  <si>
    <t>Prénom</t>
  </si>
  <si>
    <t>DDN</t>
  </si>
  <si>
    <t>Rouge</t>
  </si>
  <si>
    <t>Bleu</t>
  </si>
  <si>
    <t>Manche 1</t>
  </si>
  <si>
    <t>Manche 2</t>
  </si>
  <si>
    <t>Qualifié</t>
  </si>
  <si>
    <t>Qualifications</t>
  </si>
  <si>
    <t>-</t>
  </si>
  <si>
    <t>Copie.Club</t>
  </si>
  <si>
    <t>Copie.Athlète</t>
  </si>
  <si>
    <t>Dénivelée:</t>
  </si>
  <si>
    <t>Catégorie K2 (13-14 ans)</t>
  </si>
  <si>
    <t>Bromont - Québec</t>
  </si>
  <si>
    <t>Femmes</t>
  </si>
  <si>
    <t>10-Février-2001</t>
  </si>
  <si>
    <t>Guy Trudeau</t>
  </si>
  <si>
    <t>(Bromont)</t>
  </si>
  <si>
    <t>Cowansville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</si>
</sst>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\-0.000"/>
    <numFmt numFmtId="165" formatCode="0.000"/>
    <numFmt numFmtId="166" formatCode="0.00000"/>
    <numFmt numFmtId="167" formatCode="0.0000"/>
    <numFmt numFmtId="168" formatCode="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sz val="10"/>
      <color indexed="23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Fill="1" applyBorder="1" applyAlignment="1">
      <alignment horizontal="lef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5" fontId="10" fillId="0" borderId="0" xfId="0" applyNumberFormat="1" applyFont="1" applyAlignment="1" quotePrefix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right"/>
    </xf>
    <xf numFmtId="15" fontId="0" fillId="0" borderId="0" xfId="0" applyNumberFormat="1" applyAlignment="1">
      <alignment/>
    </xf>
    <xf numFmtId="0" fontId="14" fillId="2" borderId="0" xfId="0" applyFont="1" applyFill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65" fontId="4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4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5" fontId="4" fillId="0" borderId="0" xfId="0" applyNumberFormat="1" applyFont="1" applyFill="1" applyAlignment="1" applyProtection="1">
      <alignment/>
      <protection locked="0"/>
    </xf>
    <xf numFmtId="165" fontId="18" fillId="0" borderId="0" xfId="0" applyNumberFormat="1" applyFont="1" applyFill="1" applyAlignment="1" applyProtection="1">
      <alignment/>
      <protection locked="0"/>
    </xf>
    <xf numFmtId="167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15" fillId="2" borderId="6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2</xdr:col>
      <xdr:colOff>866775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1400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2</xdr:col>
      <xdr:colOff>152400</xdr:colOff>
      <xdr:row>5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390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1</xdr:col>
      <xdr:colOff>1419225</xdr:colOff>
      <xdr:row>5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390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2</xdr:col>
      <xdr:colOff>361950</xdr:colOff>
      <xdr:row>5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390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9.8515625" style="14" bestFit="1" customWidth="1"/>
    <col min="3" max="3" width="17.28125" style="0" bestFit="1" customWidth="1"/>
    <col min="4" max="4" width="13.7109375" style="0" bestFit="1" customWidth="1"/>
    <col min="5" max="5" width="6.28125" style="14" bestFit="1" customWidth="1"/>
    <col min="6" max="6" width="9.421875" style="0" customWidth="1"/>
    <col min="7" max="7" width="3.7109375" style="0" customWidth="1"/>
    <col min="8" max="9" width="9.140625" style="0" customWidth="1"/>
    <col min="10" max="10" width="9.140625" style="14" customWidth="1"/>
    <col min="11" max="11" width="3.7109375" style="0" customWidth="1"/>
    <col min="12" max="13" width="9.140625" style="0" customWidth="1"/>
    <col min="14" max="14" width="9.140625" style="14" customWidth="1"/>
    <col min="15" max="16" width="9.140625" style="0" customWidth="1"/>
    <col min="17" max="17" width="24.7109375" style="0" customWidth="1"/>
    <col min="18" max="18" width="10.00390625" style="0" bestFit="1" customWidth="1"/>
    <col min="19" max="16384" width="9.140625" style="0" customWidth="1"/>
  </cols>
  <sheetData>
    <row r="1" ht="18">
      <c r="G1" s="17" t="str">
        <f>Résultats!H1</f>
        <v>Zone de ski de l'Estrie</v>
      </c>
    </row>
    <row r="2" ht="18">
      <c r="G2" s="17">
        <f>Résultats!H2</f>
        <v>0</v>
      </c>
    </row>
    <row r="3" ht="18">
      <c r="G3" s="17" t="str">
        <f>Résultats!H3</f>
        <v>Parallèle</v>
      </c>
    </row>
    <row r="4" ht="18">
      <c r="G4" s="17" t="str">
        <f>Résultats!H4</f>
        <v>Catégorie K2 (13-14 ans)</v>
      </c>
    </row>
    <row r="5" ht="18">
      <c r="G5" s="27" t="str">
        <f>Résultats!H5</f>
        <v>Bromont - Québec</v>
      </c>
    </row>
    <row r="6" ht="18">
      <c r="G6" s="17" t="str">
        <f>Résultats!H6</f>
        <v>10-Février-2001</v>
      </c>
    </row>
    <row r="7" ht="18">
      <c r="G7" s="17"/>
    </row>
    <row r="8" ht="18">
      <c r="G8" s="17"/>
    </row>
    <row r="9" ht="18">
      <c r="G9" s="18" t="s">
        <v>46</v>
      </c>
    </row>
    <row r="10" spans="7:14" ht="18">
      <c r="G10" s="18" t="str">
        <f>Résultats!H10</f>
        <v>Femmes</v>
      </c>
      <c r="N10" s="14">
        <f>IF(ISERROR(N17),"",)</f>
        <v>0</v>
      </c>
    </row>
    <row r="14" spans="8:14" ht="12.75">
      <c r="H14" s="65" t="s">
        <v>43</v>
      </c>
      <c r="I14" s="66"/>
      <c r="J14" s="67"/>
      <c r="K14" s="12"/>
      <c r="L14" s="65" t="s">
        <v>44</v>
      </c>
      <c r="M14" s="66"/>
      <c r="N14" s="67"/>
    </row>
    <row r="15" spans="8:14" ht="12.75">
      <c r="H15" s="28">
        <v>4</v>
      </c>
      <c r="I15" s="28">
        <v>4</v>
      </c>
      <c r="J15" s="28">
        <f>SUM(H15:I15)</f>
        <v>8</v>
      </c>
      <c r="K15" s="34"/>
      <c r="L15" s="28">
        <v>4</v>
      </c>
      <c r="M15" s="28">
        <v>4</v>
      </c>
      <c r="N15" s="28">
        <f>SUM(L15:M15)</f>
        <v>8</v>
      </c>
    </row>
    <row r="16" spans="1:18" ht="12.75">
      <c r="A16" s="35"/>
      <c r="B16" s="36" t="s">
        <v>1</v>
      </c>
      <c r="C16" s="37" t="s">
        <v>2</v>
      </c>
      <c r="D16" s="37" t="s">
        <v>39</v>
      </c>
      <c r="E16" s="36" t="s">
        <v>40</v>
      </c>
      <c r="F16" s="37" t="s">
        <v>3</v>
      </c>
      <c r="H16" s="46" t="s">
        <v>41</v>
      </c>
      <c r="I16" s="47" t="s">
        <v>42</v>
      </c>
      <c r="J16" s="48" t="s">
        <v>45</v>
      </c>
      <c r="K16" s="33"/>
      <c r="L16" s="46" t="s">
        <v>41</v>
      </c>
      <c r="M16" s="47" t="s">
        <v>42</v>
      </c>
      <c r="N16" s="48" t="s">
        <v>45</v>
      </c>
      <c r="Q16" s="31" t="s">
        <v>49</v>
      </c>
      <c r="R16" s="31" t="s">
        <v>48</v>
      </c>
    </row>
    <row r="17" spans="1:18" ht="12.75">
      <c r="A17" s="38"/>
      <c r="B17" s="39"/>
      <c r="C17" s="40"/>
      <c r="D17" s="40"/>
      <c r="E17" s="39"/>
      <c r="F17" s="40"/>
      <c r="H17" s="41"/>
      <c r="I17" s="32" t="s">
        <v>47</v>
      </c>
      <c r="J17" s="28">
        <f>IF(COUNT($H$17:$H$57)&lt;=$H$15,"",IF(H17&lt;=SMALL($H$17:$H$58,$H$15),"Qualifié",""))</f>
      </c>
      <c r="K17" s="14"/>
      <c r="L17" s="32" t="s">
        <v>47</v>
      </c>
      <c r="M17" s="28"/>
      <c r="N17" s="28">
        <f>IF(COUNT($M$17:$M$57)&lt;=$M$15,"",IF(M17&lt;=SMALL($M$17:$M$58,$M$15),"Qualifié",""))</f>
      </c>
      <c r="Q17" t="str">
        <f>CONCATENATE(D17," ",C17)</f>
        <v> </v>
      </c>
      <c r="R17" s="30">
        <f>F17</f>
        <v>0</v>
      </c>
    </row>
    <row r="18" spans="1:18" ht="12.75">
      <c r="A18" s="38"/>
      <c r="B18" s="39"/>
      <c r="C18" s="40"/>
      <c r="D18" s="40"/>
      <c r="E18" s="39"/>
      <c r="F18" s="40"/>
      <c r="H18" s="32" t="s">
        <v>47</v>
      </c>
      <c r="I18" s="41"/>
      <c r="J18" s="28">
        <f>IF(COUNT($I$18:$I$58)&lt;=$I$15,"",IF(I18&lt;=SMALL($I$17:$I$58,$I$15),"Qualifié",""))</f>
      </c>
      <c r="K18" s="14"/>
      <c r="L18" s="28"/>
      <c r="M18" s="32" t="s">
        <v>47</v>
      </c>
      <c r="N18" s="28">
        <f>IF(COUNT($L$18:$L$58)&lt;=$L$15,"",IF(L18&lt;=SMALL($L$17:$L$58,$L$15),"Qualifié",""))</f>
      </c>
      <c r="Q18" t="str">
        <f aca="true" t="shared" si="0" ref="Q18:Q58">CONCATENATE(D18," ",C18)</f>
        <v> </v>
      </c>
      <c r="R18" s="30">
        <f aca="true" t="shared" si="1" ref="R18:R58">F18</f>
        <v>0</v>
      </c>
    </row>
    <row r="19" spans="1:18" ht="12.75">
      <c r="A19" s="38"/>
      <c r="B19" s="39"/>
      <c r="C19" s="40"/>
      <c r="D19" s="40"/>
      <c r="E19" s="39"/>
      <c r="F19" s="40"/>
      <c r="H19" s="41"/>
      <c r="I19" s="32" t="s">
        <v>47</v>
      </c>
      <c r="J19" s="28">
        <f>IF(COUNT($H$17:$H$57)&lt;=$H$15,"",IF(H19&lt;=SMALL($H$17:$H$58,$H$15),"Qualifié",""))</f>
      </c>
      <c r="K19" s="14"/>
      <c r="L19" s="32" t="s">
        <v>47</v>
      </c>
      <c r="M19" s="28"/>
      <c r="N19" s="28">
        <f>IF(COUNT($M$17:$M$57)&lt;=$M$15,"",IF(M19&lt;=SMALL($M$17:$M$58,$M$15),"Qualifié",""))</f>
      </c>
      <c r="Q19" t="str">
        <f t="shared" si="0"/>
        <v> </v>
      </c>
      <c r="R19" s="30">
        <f t="shared" si="1"/>
        <v>0</v>
      </c>
    </row>
    <row r="20" spans="1:18" ht="12.75">
      <c r="A20" s="38"/>
      <c r="B20" s="39"/>
      <c r="C20" s="40"/>
      <c r="D20" s="40"/>
      <c r="E20" s="39"/>
      <c r="F20" s="40"/>
      <c r="H20" s="32" t="s">
        <v>47</v>
      </c>
      <c r="I20" s="41"/>
      <c r="J20" s="28">
        <f>IF(COUNT($I$18:$I$58)&lt;=$I$15,"",IF(I20&lt;=SMALL($I$17:$I$58,$I$15),"Qualifié",""))</f>
      </c>
      <c r="K20" s="14"/>
      <c r="L20" s="28"/>
      <c r="M20" s="32" t="s">
        <v>47</v>
      </c>
      <c r="N20" s="28">
        <f>IF(COUNT($L$18:$L$58)&lt;=$L$15,"",IF(L20&lt;=SMALL($L$17:$L$58,$L$15),"Qualifié",""))</f>
      </c>
      <c r="Q20" t="str">
        <f t="shared" si="0"/>
        <v> </v>
      </c>
      <c r="R20" s="30">
        <f t="shared" si="1"/>
        <v>0</v>
      </c>
    </row>
    <row r="21" spans="1:18" ht="12.75">
      <c r="A21" s="38"/>
      <c r="B21" s="39"/>
      <c r="C21" s="40"/>
      <c r="D21" s="40"/>
      <c r="E21" s="39"/>
      <c r="F21" s="40"/>
      <c r="H21" s="41"/>
      <c r="I21" s="32" t="s">
        <v>47</v>
      </c>
      <c r="J21" s="28">
        <f>IF(COUNT($H$17:$H$57)&lt;=$H$15,"",IF(H21&lt;=SMALL($H$17:$H$58,$H$15),"Qualifié",""))</f>
      </c>
      <c r="K21" s="14"/>
      <c r="L21" s="32" t="s">
        <v>47</v>
      </c>
      <c r="M21" s="28"/>
      <c r="N21" s="28">
        <f>IF(COUNT($M$17:$M$57)&lt;=$M$15,"",IF(M21&lt;=SMALL($M$17:$M$58,$M$15),"Qualifié",""))</f>
      </c>
      <c r="Q21" t="str">
        <f t="shared" si="0"/>
        <v> </v>
      </c>
      <c r="R21" s="30">
        <f t="shared" si="1"/>
        <v>0</v>
      </c>
    </row>
    <row r="22" spans="1:18" ht="12.75">
      <c r="A22" s="38"/>
      <c r="B22" s="39"/>
      <c r="C22" s="40"/>
      <c r="D22" s="40"/>
      <c r="E22" s="39"/>
      <c r="F22" s="40"/>
      <c r="H22" s="32" t="s">
        <v>47</v>
      </c>
      <c r="I22" s="41"/>
      <c r="J22" s="28">
        <f>IF(COUNT($I$18:$I$58)&lt;=$I$15,"",IF(I22&lt;=SMALL($I$17:$I$58,$I$15),"Qualifié",""))</f>
      </c>
      <c r="K22" s="14"/>
      <c r="L22" s="28"/>
      <c r="M22" s="32" t="s">
        <v>47</v>
      </c>
      <c r="N22" s="28">
        <f>IF(COUNT($L$18:$L$58)&lt;=$L$15,"",IF(L22&lt;=SMALL($L$17:$L$58,$L$15),"Qualifié",""))</f>
      </c>
      <c r="Q22" t="str">
        <f t="shared" si="0"/>
        <v> </v>
      </c>
      <c r="R22" s="30">
        <f t="shared" si="1"/>
        <v>0</v>
      </c>
    </row>
    <row r="23" spans="1:18" ht="12.75">
      <c r="A23" s="38"/>
      <c r="B23" s="39"/>
      <c r="C23" s="40"/>
      <c r="D23" s="40"/>
      <c r="E23" s="39"/>
      <c r="F23" s="40"/>
      <c r="H23" s="41"/>
      <c r="I23" s="32" t="s">
        <v>47</v>
      </c>
      <c r="J23" s="28">
        <f>IF(COUNT($H$17:$H$57)&lt;=$H$15,"",IF(H23&lt;=SMALL($H$17:$H$58,$H$15),"Qualifié",""))</f>
      </c>
      <c r="K23" s="14"/>
      <c r="L23" s="32" t="s">
        <v>47</v>
      </c>
      <c r="M23" s="28"/>
      <c r="N23" s="28">
        <f>IF(COUNT($M$17:$M$57)&lt;=$M$15,"",IF(M23&lt;=SMALL($M$17:$M$58,$M$15),"Qualifié",""))</f>
      </c>
      <c r="Q23" t="str">
        <f t="shared" si="0"/>
        <v> </v>
      </c>
      <c r="R23" s="30">
        <f t="shared" si="1"/>
        <v>0</v>
      </c>
    </row>
    <row r="24" spans="1:18" ht="12.75">
      <c r="A24" s="38"/>
      <c r="B24" s="39"/>
      <c r="C24" s="40"/>
      <c r="D24" s="40"/>
      <c r="E24" s="39"/>
      <c r="F24" s="40"/>
      <c r="H24" s="32" t="s">
        <v>47</v>
      </c>
      <c r="I24" s="41"/>
      <c r="J24" s="28">
        <f>IF(COUNT($I$18:$I$58)&lt;=$I$15,"",IF(I24&lt;=SMALL($I$17:$I$58,$I$15),"Qualifié",""))</f>
      </c>
      <c r="K24" s="14"/>
      <c r="L24" s="28"/>
      <c r="M24" s="32" t="s">
        <v>47</v>
      </c>
      <c r="N24" s="28">
        <f>IF(COUNT($L$18:$L$58)&lt;=$L$15,"",IF(L24&lt;=SMALL($L$17:$L$58,$L$15),"Qualifié",""))</f>
      </c>
      <c r="Q24" t="str">
        <f t="shared" si="0"/>
        <v> </v>
      </c>
      <c r="R24" s="30">
        <f t="shared" si="1"/>
        <v>0</v>
      </c>
    </row>
    <row r="25" spans="1:18" ht="12.75">
      <c r="A25" s="38"/>
      <c r="B25" s="39"/>
      <c r="C25" s="40"/>
      <c r="D25" s="40"/>
      <c r="E25" s="39"/>
      <c r="F25" s="40"/>
      <c r="H25" s="41"/>
      <c r="I25" s="32" t="s">
        <v>47</v>
      </c>
      <c r="J25" s="28">
        <f>IF(COUNT($H$17:$H$57)&lt;=$H$15,"",IF(H25&lt;=SMALL($H$17:$H$58,$H$15),"Qualifié",""))</f>
      </c>
      <c r="K25" s="14"/>
      <c r="L25" s="32" t="s">
        <v>47</v>
      </c>
      <c r="M25" s="28"/>
      <c r="N25" s="28">
        <f>IF(COUNT($M$17:$M$57)&lt;=$M$15,"",IF(M25&lt;=SMALL($M$17:$M$58,$M$15),"Qualifié",""))</f>
      </c>
      <c r="Q25" t="str">
        <f t="shared" si="0"/>
        <v> </v>
      </c>
      <c r="R25" s="30">
        <f t="shared" si="1"/>
        <v>0</v>
      </c>
    </row>
    <row r="26" spans="1:18" ht="12.75">
      <c r="A26" s="38"/>
      <c r="B26" s="39"/>
      <c r="C26" s="40"/>
      <c r="D26" s="40"/>
      <c r="E26" s="39"/>
      <c r="F26" s="40"/>
      <c r="H26" s="32" t="s">
        <v>47</v>
      </c>
      <c r="I26" s="41"/>
      <c r="J26" s="28">
        <f>IF(COUNT($I$18:$I$58)&lt;=$I$15,"",IF(I26&lt;=SMALL($I$17:$I$58,$I$15),"Qualifié",""))</f>
      </c>
      <c r="K26" s="14"/>
      <c r="L26" s="28"/>
      <c r="M26" s="32" t="s">
        <v>47</v>
      </c>
      <c r="N26" s="28">
        <f>IF(COUNT($L$18:$L$58)&lt;=$L$15,"",IF(L26&lt;=SMALL($L$17:$L$58,$L$15),"Qualifié",""))</f>
      </c>
      <c r="Q26" t="str">
        <f t="shared" si="0"/>
        <v> </v>
      </c>
      <c r="R26" s="30">
        <f t="shared" si="1"/>
        <v>0</v>
      </c>
    </row>
    <row r="27" spans="1:18" ht="12.75">
      <c r="A27" s="38"/>
      <c r="B27" s="39"/>
      <c r="C27" s="40"/>
      <c r="D27" s="40"/>
      <c r="E27" s="39"/>
      <c r="F27" s="40"/>
      <c r="H27" s="41"/>
      <c r="I27" s="32" t="s">
        <v>47</v>
      </c>
      <c r="J27" s="28">
        <f>IF(COUNT($H$17:$H$57)&lt;=$H$15,"",IF(H27&lt;=SMALL($H$17:$H$58,$H$15),"Qualifié",""))</f>
      </c>
      <c r="K27" s="14"/>
      <c r="L27" s="32" t="s">
        <v>47</v>
      </c>
      <c r="M27" s="28"/>
      <c r="N27" s="28">
        <f>IF(COUNT($M$17:$M$57)&lt;=$M$15,"",IF(M27&lt;=SMALL($M$17:$M$58,$M$15),"Qualifié",""))</f>
      </c>
      <c r="Q27" t="str">
        <f t="shared" si="0"/>
        <v> </v>
      </c>
      <c r="R27" s="30">
        <f t="shared" si="1"/>
        <v>0</v>
      </c>
    </row>
    <row r="28" spans="1:18" ht="12.75">
      <c r="A28" s="38"/>
      <c r="B28" s="39"/>
      <c r="C28" s="40"/>
      <c r="D28" s="40"/>
      <c r="E28" s="39"/>
      <c r="F28" s="40"/>
      <c r="H28" s="32" t="s">
        <v>47</v>
      </c>
      <c r="I28" s="41"/>
      <c r="J28" s="28">
        <f>IF(COUNT($I$18:$I$58)&lt;=$I$15,"",IF(I28&lt;=SMALL($I$17:$I$58,$I$15),"Qualifié",""))</f>
      </c>
      <c r="K28" s="14"/>
      <c r="L28" s="28"/>
      <c r="M28" s="32" t="s">
        <v>47</v>
      </c>
      <c r="N28" s="28">
        <f>IF(COUNT($L$18:$L$58)&lt;=$L$15,"",IF(L28&lt;=SMALL($L$17:$L$58,$L$15),"Qualifié",""))</f>
      </c>
      <c r="Q28" t="str">
        <f t="shared" si="0"/>
        <v> </v>
      </c>
      <c r="R28" s="30">
        <f t="shared" si="1"/>
        <v>0</v>
      </c>
    </row>
    <row r="29" spans="1:18" ht="12.75">
      <c r="A29" s="38"/>
      <c r="B29" s="39"/>
      <c r="C29" s="40"/>
      <c r="D29" s="40"/>
      <c r="E29" s="39"/>
      <c r="F29" s="40"/>
      <c r="H29" s="41"/>
      <c r="I29" s="32" t="s">
        <v>47</v>
      </c>
      <c r="J29" s="28">
        <f>IF(COUNT($H$17:$H$57)&lt;=$H$15,"",IF(H29&lt;=SMALL($H$17:$H$58,$H$15),"Qualifié",""))</f>
      </c>
      <c r="K29" s="14"/>
      <c r="L29" s="32" t="s">
        <v>47</v>
      </c>
      <c r="M29" s="28"/>
      <c r="N29" s="28">
        <f>IF(COUNT($M$17:$M$57)&lt;=$M$15,"",IF(M29&lt;=SMALL($M$17:$M$58,$M$15),"Qualifié",""))</f>
      </c>
      <c r="Q29" t="str">
        <f t="shared" si="0"/>
        <v> </v>
      </c>
      <c r="R29" s="30">
        <f t="shared" si="1"/>
        <v>0</v>
      </c>
    </row>
    <row r="30" spans="1:18" ht="12.75">
      <c r="A30" s="38"/>
      <c r="B30" s="39"/>
      <c r="C30" s="40"/>
      <c r="D30" s="40"/>
      <c r="E30" s="39"/>
      <c r="F30" s="40"/>
      <c r="H30" s="32" t="s">
        <v>47</v>
      </c>
      <c r="I30" s="41"/>
      <c r="J30" s="28">
        <f>IF(COUNT($I$18:$I$58)&lt;=$I$15,"",IF(I30&lt;=SMALL($I$17:$I$58,$I$15),"Qualifié",""))</f>
      </c>
      <c r="K30" s="14"/>
      <c r="L30" s="28"/>
      <c r="M30" s="32" t="s">
        <v>47</v>
      </c>
      <c r="N30" s="28">
        <f>IF(COUNT($L$18:$L$58)&lt;=$L$15,"",IF(L30&lt;=SMALL($L$17:$L$58,$L$15),"Qualifié",""))</f>
      </c>
      <c r="Q30" t="str">
        <f t="shared" si="0"/>
        <v> </v>
      </c>
      <c r="R30" s="30">
        <f t="shared" si="1"/>
        <v>0</v>
      </c>
    </row>
    <row r="31" spans="1:18" ht="12.75">
      <c r="A31" s="38"/>
      <c r="B31" s="39"/>
      <c r="C31" s="40"/>
      <c r="D31" s="40"/>
      <c r="E31" s="39"/>
      <c r="F31" s="40"/>
      <c r="H31" s="41"/>
      <c r="I31" s="32" t="s">
        <v>47</v>
      </c>
      <c r="J31" s="28">
        <f>IF(COUNT($H$17:$H$57)&lt;=$H$15,"",IF(H31&lt;=SMALL($H$17:$H$58,$H$15),"Qualifié",""))</f>
      </c>
      <c r="K31" s="14"/>
      <c r="L31" s="32" t="s">
        <v>47</v>
      </c>
      <c r="M31" s="28"/>
      <c r="N31" s="28">
        <f>IF(COUNT($M$17:$M$57)&lt;=$M$15,"",IF(M31&lt;=SMALL($M$17:$M$58,$M$15),"Qualifié",""))</f>
      </c>
      <c r="Q31" t="str">
        <f t="shared" si="0"/>
        <v> </v>
      </c>
      <c r="R31" s="30">
        <f t="shared" si="1"/>
        <v>0</v>
      </c>
    </row>
    <row r="32" spans="1:18" ht="12.75">
      <c r="A32" s="38"/>
      <c r="B32" s="39"/>
      <c r="C32" s="40"/>
      <c r="D32" s="40"/>
      <c r="E32" s="39"/>
      <c r="F32" s="40"/>
      <c r="H32" s="32" t="s">
        <v>47</v>
      </c>
      <c r="I32" s="41"/>
      <c r="J32" s="28">
        <f>IF(COUNT($I$18:$I$58)&lt;=$I$15,"",IF(I32&lt;=SMALL($I$17:$I$58,$I$15),"Qualifié",""))</f>
      </c>
      <c r="K32" s="14"/>
      <c r="L32" s="28"/>
      <c r="M32" s="32" t="s">
        <v>47</v>
      </c>
      <c r="N32" s="28">
        <f>IF(COUNT($L$18:$L$58)&lt;=$L$15,"",IF(L32&lt;=SMALL($L$17:$L$58,$L$15),"Qualifié",""))</f>
      </c>
      <c r="Q32" t="str">
        <f t="shared" si="0"/>
        <v> </v>
      </c>
      <c r="R32" s="30">
        <f t="shared" si="1"/>
        <v>0</v>
      </c>
    </row>
    <row r="33" spans="1:18" ht="12.75">
      <c r="A33" s="38"/>
      <c r="B33" s="39"/>
      <c r="C33" s="40"/>
      <c r="D33" s="40"/>
      <c r="E33" s="39"/>
      <c r="F33" s="40"/>
      <c r="H33" s="41"/>
      <c r="I33" s="32" t="s">
        <v>47</v>
      </c>
      <c r="J33" s="28">
        <f>IF(COUNT($H$17:$H$57)&lt;=$H$15,"",IF(H33&lt;=SMALL($H$17:$H$58,$H$15),"Qualifié",""))</f>
      </c>
      <c r="K33" s="14"/>
      <c r="L33" s="32" t="s">
        <v>47</v>
      </c>
      <c r="M33" s="28"/>
      <c r="N33" s="28">
        <f>IF(COUNT($M$17:$M$57)&lt;=$M$15,"",IF(M33&lt;=SMALL($M$17:$M$58,$M$15),"Qualifié",""))</f>
      </c>
      <c r="Q33" t="str">
        <f t="shared" si="0"/>
        <v> </v>
      </c>
      <c r="R33" s="30">
        <f t="shared" si="1"/>
        <v>0</v>
      </c>
    </row>
    <row r="34" spans="1:18" ht="12.75">
      <c r="A34" s="38"/>
      <c r="B34" s="39"/>
      <c r="C34" s="40"/>
      <c r="D34" s="40"/>
      <c r="E34" s="39"/>
      <c r="F34" s="40"/>
      <c r="H34" s="32" t="s">
        <v>47</v>
      </c>
      <c r="I34" s="41"/>
      <c r="J34" s="28">
        <f>IF(COUNT($I$18:$I$58)&lt;=$I$15,"",IF(I34&lt;=SMALL($I$17:$I$58,$I$15),"Qualifié",""))</f>
      </c>
      <c r="K34" s="14"/>
      <c r="L34" s="32"/>
      <c r="M34" s="32" t="s">
        <v>47</v>
      </c>
      <c r="N34" s="28">
        <f>IF(COUNT($L$18:$L$58)&lt;=$L$15,"",IF(L34&lt;=SMALL($L$17:$L$58,$L$15),"Qualifié",""))</f>
      </c>
      <c r="Q34" t="str">
        <f t="shared" si="0"/>
        <v> </v>
      </c>
      <c r="R34" s="30">
        <f t="shared" si="1"/>
        <v>0</v>
      </c>
    </row>
    <row r="35" spans="1:18" ht="12.75">
      <c r="A35" s="38"/>
      <c r="B35" s="39"/>
      <c r="C35" s="40"/>
      <c r="D35" s="40"/>
      <c r="E35" s="39"/>
      <c r="F35" s="40"/>
      <c r="H35" s="41"/>
      <c r="I35" s="32" t="s">
        <v>47</v>
      </c>
      <c r="J35" s="28">
        <f>IF(COUNT($H$17:$H$57)&lt;=$H$15,"",IF(H35&lt;=SMALL($H$17:$H$58,$H$15),"Qualifié",""))</f>
      </c>
      <c r="K35" s="14"/>
      <c r="L35" s="32" t="s">
        <v>47</v>
      </c>
      <c r="M35" s="28"/>
      <c r="N35" s="28">
        <f>IF(COUNT($M$17:$M$57)&lt;=$M$15,"",IF(M35&lt;=SMALL($M$17:$M$58,$M$15),"Qualifié",""))</f>
      </c>
      <c r="Q35" t="str">
        <f t="shared" si="0"/>
        <v> </v>
      </c>
      <c r="R35" s="30">
        <f t="shared" si="1"/>
        <v>0</v>
      </c>
    </row>
    <row r="36" spans="1:18" ht="12.75">
      <c r="A36" s="38"/>
      <c r="B36" s="39"/>
      <c r="C36" s="40"/>
      <c r="D36" s="40"/>
      <c r="E36" s="39"/>
      <c r="F36" s="40"/>
      <c r="H36" s="32" t="s">
        <v>47</v>
      </c>
      <c r="I36" s="41"/>
      <c r="J36" s="28">
        <f>IF(COUNT($I$18:$I$58)&lt;=$I$15,"",IF(I36&lt;=SMALL($I$17:$I$58,$I$15),"Qualifié",""))</f>
      </c>
      <c r="K36" s="14"/>
      <c r="L36" s="28"/>
      <c r="M36" s="32" t="s">
        <v>47</v>
      </c>
      <c r="N36" s="28">
        <f>IF(COUNT($L$18:$L$58)&lt;=$L$15,"",IF(L36&lt;=SMALL($L$17:$L$58,$L$15),"Qualifié",""))</f>
      </c>
      <c r="Q36" t="str">
        <f t="shared" si="0"/>
        <v> </v>
      </c>
      <c r="R36" s="30">
        <f t="shared" si="1"/>
        <v>0</v>
      </c>
    </row>
    <row r="37" spans="1:18" ht="12.75">
      <c r="A37" s="38"/>
      <c r="B37" s="39"/>
      <c r="C37" s="40"/>
      <c r="D37" s="40"/>
      <c r="E37" s="39"/>
      <c r="F37" s="40"/>
      <c r="H37" s="41"/>
      <c r="I37" s="32" t="s">
        <v>47</v>
      </c>
      <c r="J37" s="28">
        <f>IF(COUNT($H$17:$H$57)&lt;=$H$15,"",IF(H37&lt;=SMALL($H$17:$H$58,$H$15),"Qualifié",""))</f>
      </c>
      <c r="K37" s="14"/>
      <c r="L37" s="32" t="s">
        <v>47</v>
      </c>
      <c r="M37" s="28"/>
      <c r="N37" s="28">
        <f>IF(COUNT($M$17:$M$57)&lt;=$M$15,"",IF(M37&lt;=SMALL($M$17:$M$58,$M$15),"Qualifié",""))</f>
      </c>
      <c r="Q37" t="str">
        <f t="shared" si="0"/>
        <v> </v>
      </c>
      <c r="R37" s="30">
        <f t="shared" si="1"/>
        <v>0</v>
      </c>
    </row>
    <row r="38" spans="1:18" ht="12.75">
      <c r="A38" s="38"/>
      <c r="B38" s="39"/>
      <c r="C38" s="40"/>
      <c r="D38" s="40"/>
      <c r="E38" s="39"/>
      <c r="F38" s="40"/>
      <c r="H38" s="32" t="s">
        <v>47</v>
      </c>
      <c r="I38" s="41"/>
      <c r="J38" s="28">
        <f>IF(COUNT($I$18:$I$58)&lt;=$I$15,"",IF(I38&lt;=SMALL($I$17:$I$58,$I$15),"Qualifié",""))</f>
      </c>
      <c r="K38" s="14"/>
      <c r="L38" s="32"/>
      <c r="M38" s="32" t="s">
        <v>47</v>
      </c>
      <c r="N38" s="28">
        <f>IF(COUNT($L$18:$L$58)&lt;=$L$15,"",IF(L38&lt;=SMALL($L$17:$L$58,$L$15),"Qualifié",""))</f>
      </c>
      <c r="Q38" t="str">
        <f t="shared" si="0"/>
        <v> </v>
      </c>
      <c r="R38" s="30">
        <f t="shared" si="1"/>
        <v>0</v>
      </c>
    </row>
    <row r="39" spans="1:18" ht="12.75">
      <c r="A39" s="38"/>
      <c r="B39" s="39"/>
      <c r="C39" s="40"/>
      <c r="D39" s="40"/>
      <c r="E39" s="39"/>
      <c r="F39" s="40"/>
      <c r="H39" s="41"/>
      <c r="I39" s="32" t="s">
        <v>47</v>
      </c>
      <c r="J39" s="28">
        <f>IF(COUNT($H$17:$H$57)&lt;=$H$15,"",IF(H39&lt;=SMALL($H$17:$H$58,$H$15),"Qualifié",""))</f>
      </c>
      <c r="K39" s="14"/>
      <c r="L39" s="32" t="s">
        <v>47</v>
      </c>
      <c r="M39" s="32"/>
      <c r="N39" s="28">
        <f>IF(COUNT($M$17:$M$57)&lt;=$M$15,"",IF(M39&lt;=SMALL($M$17:$M$58,$M$15),"Qualifié",""))</f>
      </c>
      <c r="Q39" t="str">
        <f t="shared" si="0"/>
        <v> </v>
      </c>
      <c r="R39" s="30">
        <f t="shared" si="1"/>
        <v>0</v>
      </c>
    </row>
    <row r="40" spans="1:18" ht="12.75">
      <c r="A40" s="38"/>
      <c r="B40" s="39"/>
      <c r="C40" s="40"/>
      <c r="D40" s="40"/>
      <c r="E40" s="39"/>
      <c r="F40" s="40"/>
      <c r="H40" s="32" t="s">
        <v>47</v>
      </c>
      <c r="I40" s="41"/>
      <c r="J40" s="28">
        <f>IF(COUNT($I$18:$I$58)&lt;=$I$15,"",IF(I40&lt;=SMALL($I$17:$I$58,$I$15),"Qualifié",""))</f>
      </c>
      <c r="K40" s="14"/>
      <c r="L40" s="28"/>
      <c r="M40" s="32" t="s">
        <v>47</v>
      </c>
      <c r="N40" s="28">
        <f>IF(COUNT($L$18:$L$58)&lt;=$L$15,"",IF(L40&lt;=SMALL($L$17:$L$58,$L$15),"Qualifié",""))</f>
      </c>
      <c r="Q40" t="str">
        <f t="shared" si="0"/>
        <v> </v>
      </c>
      <c r="R40" s="30">
        <f t="shared" si="1"/>
        <v>0</v>
      </c>
    </row>
    <row r="41" spans="1:18" ht="12.75">
      <c r="A41" s="38"/>
      <c r="B41" s="39"/>
      <c r="C41" s="40"/>
      <c r="D41" s="40"/>
      <c r="E41" s="39"/>
      <c r="F41" s="40"/>
      <c r="H41" s="41"/>
      <c r="I41" s="32" t="s">
        <v>47</v>
      </c>
      <c r="J41" s="28">
        <f>IF(COUNT($H$17:$H$57)&lt;=$H$15,"",IF(H41&lt;=SMALL($H$17:$H$58,$H$15),"Qualifié",""))</f>
      </c>
      <c r="K41" s="14"/>
      <c r="L41" s="32" t="s">
        <v>47</v>
      </c>
      <c r="M41" s="28"/>
      <c r="N41" s="28">
        <f>IF(COUNT($M$17:$M$57)&lt;=$M$15,"",IF(M41&lt;=SMALL($M$17:$M$58,$M$15),"Qualifié",""))</f>
      </c>
      <c r="Q41" t="str">
        <f t="shared" si="0"/>
        <v> </v>
      </c>
      <c r="R41" s="30">
        <f t="shared" si="1"/>
        <v>0</v>
      </c>
    </row>
    <row r="42" spans="1:18" ht="12.75">
      <c r="A42" s="38"/>
      <c r="B42" s="39"/>
      <c r="C42" s="40"/>
      <c r="D42" s="40"/>
      <c r="E42" s="39"/>
      <c r="F42" s="40"/>
      <c r="H42" s="32" t="s">
        <v>47</v>
      </c>
      <c r="I42" s="41"/>
      <c r="J42" s="28">
        <f>IF(COUNT($I$18:$I$58)&lt;=$I$15,"",IF(I42&lt;=SMALL($I$17:$I$58,$I$15),"Qualifié",""))</f>
      </c>
      <c r="K42" s="14"/>
      <c r="L42" s="28"/>
      <c r="M42" s="32" t="s">
        <v>47</v>
      </c>
      <c r="N42" s="28">
        <f>IF(COUNT($L$18:$L$58)&lt;=$L$15,"",IF(L42&lt;=SMALL($L$17:$L$58,$L$15),"Qualifié",""))</f>
      </c>
      <c r="Q42" t="str">
        <f t="shared" si="0"/>
        <v> </v>
      </c>
      <c r="R42" s="30">
        <f t="shared" si="1"/>
        <v>0</v>
      </c>
    </row>
    <row r="43" spans="1:18" ht="12.75">
      <c r="A43" s="38"/>
      <c r="B43" s="39"/>
      <c r="C43" s="40"/>
      <c r="D43" s="40"/>
      <c r="E43" s="39"/>
      <c r="F43" s="40"/>
      <c r="H43" s="41"/>
      <c r="I43" s="32" t="s">
        <v>47</v>
      </c>
      <c r="J43" s="28">
        <f>IF(COUNT($H$17:$H$57)&lt;=$H$15,"",IF(H43&lt;=SMALL($H$17:$H$58,$H$15),"Qualifié",""))</f>
      </c>
      <c r="K43" s="14"/>
      <c r="L43" s="32" t="s">
        <v>47</v>
      </c>
      <c r="M43" s="28"/>
      <c r="N43" s="28">
        <f>IF(COUNT($M$17:$M$57)&lt;=$M$15,"",IF(M43&lt;=SMALL($M$17:$M$58,$M$15),"Qualifié",""))</f>
      </c>
      <c r="Q43" t="str">
        <f t="shared" si="0"/>
        <v> </v>
      </c>
      <c r="R43" s="30">
        <f t="shared" si="1"/>
        <v>0</v>
      </c>
    </row>
    <row r="44" spans="1:18" ht="12.75">
      <c r="A44" s="38"/>
      <c r="B44" s="39"/>
      <c r="C44" s="40"/>
      <c r="D44" s="40"/>
      <c r="E44" s="39"/>
      <c r="F44" s="40"/>
      <c r="H44" s="32" t="s">
        <v>47</v>
      </c>
      <c r="I44" s="41"/>
      <c r="J44" s="28">
        <f>IF(COUNT($I$18:$I$58)&lt;=$I$15,"",IF(I44&lt;=SMALL($I$17:$I$58,$I$15),"Qualifié",""))</f>
      </c>
      <c r="K44" s="14"/>
      <c r="L44" s="28"/>
      <c r="M44" s="32" t="s">
        <v>47</v>
      </c>
      <c r="N44" s="28">
        <f>IF(COUNT($L$18:$L$58)&lt;=$L$15,"",IF(L44&lt;=SMALL($L$17:$L$58,$L$15),"Qualifié",""))</f>
      </c>
      <c r="Q44" t="str">
        <f t="shared" si="0"/>
        <v> </v>
      </c>
      <c r="R44" s="30">
        <f t="shared" si="1"/>
        <v>0</v>
      </c>
    </row>
    <row r="45" spans="1:18" ht="12.75">
      <c r="A45" s="38"/>
      <c r="B45" s="39"/>
      <c r="C45" s="40"/>
      <c r="D45" s="40"/>
      <c r="E45" s="39"/>
      <c r="F45" s="40"/>
      <c r="H45" s="41"/>
      <c r="I45" s="32" t="s">
        <v>47</v>
      </c>
      <c r="J45" s="28">
        <f>IF(COUNT($H$17:$H$57)&lt;=$H$15,"",IF(H45&lt;=SMALL($H$17:$H$58,$H$15),"Qualifié",""))</f>
      </c>
      <c r="K45" s="14"/>
      <c r="L45" s="32" t="s">
        <v>47</v>
      </c>
      <c r="M45" s="28"/>
      <c r="N45" s="28">
        <f>IF(COUNT($M$17:$M$57)&lt;=$M$15,"",IF(M45&lt;=SMALL($M$17:$M$58,$M$15),"Qualifié",""))</f>
      </c>
      <c r="Q45" t="str">
        <f t="shared" si="0"/>
        <v> </v>
      </c>
      <c r="R45" s="30">
        <f t="shared" si="1"/>
        <v>0</v>
      </c>
    </row>
    <row r="46" spans="1:18" ht="12.75">
      <c r="A46" s="38"/>
      <c r="B46" s="39"/>
      <c r="C46" s="40"/>
      <c r="D46" s="40"/>
      <c r="E46" s="39"/>
      <c r="F46" s="40"/>
      <c r="H46" s="32" t="s">
        <v>47</v>
      </c>
      <c r="I46" s="41"/>
      <c r="J46" s="28">
        <f>IF(COUNT($I$18:$I$58)&lt;=$I$15,"",IF(I46&lt;=SMALL($I$17:$I$58,$I$15),"Qualifié",""))</f>
      </c>
      <c r="K46" s="14"/>
      <c r="L46" s="28"/>
      <c r="M46" s="32" t="s">
        <v>47</v>
      </c>
      <c r="N46" s="28">
        <f>IF(COUNT($L$18:$L$58)&lt;=$L$15,"",IF(L46&lt;=SMALL($L$17:$L$58,$L$15),"Qualifié",""))</f>
      </c>
      <c r="Q46" t="str">
        <f t="shared" si="0"/>
        <v> </v>
      </c>
      <c r="R46" s="30">
        <f t="shared" si="1"/>
        <v>0</v>
      </c>
    </row>
    <row r="47" spans="1:18" ht="12.75">
      <c r="A47" s="38"/>
      <c r="B47" s="39"/>
      <c r="C47" s="40"/>
      <c r="D47" s="40"/>
      <c r="E47" s="39"/>
      <c r="F47" s="40"/>
      <c r="H47" s="41"/>
      <c r="I47" s="32" t="s">
        <v>47</v>
      </c>
      <c r="J47" s="28">
        <f>IF(COUNT($H$17:$H$57)&lt;=$H$15,"",IF(H47&lt;=SMALL($H$17:$H$58,$H$15),"Qualifié",""))</f>
      </c>
      <c r="K47" s="14"/>
      <c r="L47" s="32" t="s">
        <v>47</v>
      </c>
      <c r="M47" s="28"/>
      <c r="N47" s="28">
        <f>IF(COUNT($M$17:$M$57)&lt;=$M$15,"",IF(M47&lt;=SMALL($M$17:$M$58,$M$15),"Qualifié",""))</f>
      </c>
      <c r="Q47" t="str">
        <f t="shared" si="0"/>
        <v> </v>
      </c>
      <c r="R47" s="30">
        <f t="shared" si="1"/>
        <v>0</v>
      </c>
    </row>
    <row r="48" spans="1:18" ht="12.75">
      <c r="A48" s="38"/>
      <c r="B48" s="39"/>
      <c r="C48" s="40"/>
      <c r="D48" s="40"/>
      <c r="E48" s="39"/>
      <c r="F48" s="40"/>
      <c r="H48" s="32" t="s">
        <v>47</v>
      </c>
      <c r="I48" s="41"/>
      <c r="J48" s="28">
        <f>IF(COUNT($I$18:$I$58)&lt;=$I$15,"",IF(I48&lt;=SMALL($I$17:$I$58,$I$15),"Qualifié",""))</f>
      </c>
      <c r="K48" s="14"/>
      <c r="L48" s="28"/>
      <c r="M48" s="32" t="s">
        <v>47</v>
      </c>
      <c r="N48" s="28">
        <f>IF(COUNT($L$18:$L$58)&lt;=$L$15,"",IF(L48&lt;=SMALL($L$17:$L$58,$L$15),"Qualifié",""))</f>
      </c>
      <c r="Q48" t="str">
        <f t="shared" si="0"/>
        <v> </v>
      </c>
      <c r="R48" s="30">
        <f t="shared" si="1"/>
        <v>0</v>
      </c>
    </row>
    <row r="49" spans="1:18" ht="12.75">
      <c r="A49" s="38"/>
      <c r="B49" s="39"/>
      <c r="C49" s="40"/>
      <c r="D49" s="40"/>
      <c r="E49" s="39"/>
      <c r="F49" s="40"/>
      <c r="H49" s="41"/>
      <c r="I49" s="32" t="s">
        <v>47</v>
      </c>
      <c r="J49" s="28">
        <f>IF(COUNT($H$17:$H$57)&lt;=$H$15,"",IF(H49&lt;=SMALL($H$17:$H$58,$H$15),"Qualifié",""))</f>
      </c>
      <c r="K49" s="14"/>
      <c r="L49" s="32" t="s">
        <v>47</v>
      </c>
      <c r="M49" s="28"/>
      <c r="N49" s="28">
        <f>IF(COUNT($M$17:$M$57)&lt;=$M$15,"",IF(M49&lt;=SMALL($M$17:$M$58,$M$15),"Qualifié",""))</f>
      </c>
      <c r="Q49" t="str">
        <f t="shared" si="0"/>
        <v> </v>
      </c>
      <c r="R49" s="30">
        <f t="shared" si="1"/>
        <v>0</v>
      </c>
    </row>
    <row r="50" spans="1:18" ht="12.75">
      <c r="A50" s="38"/>
      <c r="B50" s="39"/>
      <c r="C50" s="40"/>
      <c r="D50" s="40"/>
      <c r="E50" s="39"/>
      <c r="F50" s="40"/>
      <c r="H50" s="32" t="s">
        <v>47</v>
      </c>
      <c r="I50" s="41"/>
      <c r="J50" s="28">
        <f>IF(COUNT($I$18:$I$58)&lt;=$I$15,"",IF(I50&lt;=SMALL($I$17:$I$58,$I$15),"Qualifié",""))</f>
      </c>
      <c r="K50" s="14"/>
      <c r="L50" s="28"/>
      <c r="M50" s="32" t="s">
        <v>47</v>
      </c>
      <c r="N50" s="28">
        <f>IF(COUNT($L$18:$L$58)&lt;=$L$15,"",IF(L50&lt;=SMALL($L$17:$L$58,$L$15),"Qualifié",""))</f>
      </c>
      <c r="Q50" t="str">
        <f t="shared" si="0"/>
        <v> </v>
      </c>
      <c r="R50" s="30">
        <f t="shared" si="1"/>
        <v>0</v>
      </c>
    </row>
    <row r="51" spans="1:18" ht="12.75">
      <c r="A51" s="38"/>
      <c r="B51" s="39"/>
      <c r="C51" s="40"/>
      <c r="D51" s="40"/>
      <c r="E51" s="39"/>
      <c r="F51" s="40"/>
      <c r="H51" s="41"/>
      <c r="I51" s="32" t="s">
        <v>47</v>
      </c>
      <c r="J51" s="28">
        <f>IF(COUNT($H$17:$H$57)&lt;=$H$15,"",IF(H51&lt;=SMALL($H$17:$H$58,$H$15),"Qualifié",""))</f>
      </c>
      <c r="K51" s="14"/>
      <c r="L51" s="32" t="s">
        <v>47</v>
      </c>
      <c r="M51" s="28"/>
      <c r="N51" s="28">
        <f>IF(COUNT($M$17:$M$57)&lt;=$M$15,"",IF(M51&lt;=SMALL($M$17:$M$58,$M$15),"Qualifié",""))</f>
      </c>
      <c r="Q51" t="str">
        <f t="shared" si="0"/>
        <v> </v>
      </c>
      <c r="R51" s="30">
        <f t="shared" si="1"/>
        <v>0</v>
      </c>
    </row>
    <row r="52" spans="1:18" ht="12.75">
      <c r="A52" s="38"/>
      <c r="B52" s="39"/>
      <c r="C52" s="40"/>
      <c r="D52" s="40"/>
      <c r="E52" s="39"/>
      <c r="F52" s="40"/>
      <c r="H52" s="32" t="s">
        <v>47</v>
      </c>
      <c r="I52" s="41"/>
      <c r="J52" s="28">
        <f>IF(COUNT($I$18:$I$58)&lt;=$I$15,"",IF(I52&lt;=SMALL($I$17:$I$58,$I$15),"Qualifié",""))</f>
      </c>
      <c r="K52" s="14"/>
      <c r="L52" s="28"/>
      <c r="M52" s="32" t="s">
        <v>47</v>
      </c>
      <c r="N52" s="28">
        <f>IF(COUNT($L$18:$L$58)&lt;=$L$15,"",IF(L52&lt;=SMALL($L$17:$L$58,$L$15),"Qualifié",""))</f>
      </c>
      <c r="Q52" t="str">
        <f t="shared" si="0"/>
        <v> </v>
      </c>
      <c r="R52" s="30">
        <f t="shared" si="1"/>
        <v>0</v>
      </c>
    </row>
    <row r="53" spans="1:18" ht="12.75">
      <c r="A53" s="38"/>
      <c r="B53" s="39"/>
      <c r="C53" s="40"/>
      <c r="D53" s="40"/>
      <c r="E53" s="39"/>
      <c r="F53" s="40"/>
      <c r="H53" s="41"/>
      <c r="I53" s="32" t="s">
        <v>47</v>
      </c>
      <c r="J53" s="28">
        <f>IF(COUNT($H$17:$H$57)&lt;=$H$15,"",IF(H53&lt;=SMALL($H$17:$H$58,$H$15),"Qualifié",""))</f>
      </c>
      <c r="K53" s="14"/>
      <c r="L53" s="32" t="s">
        <v>47</v>
      </c>
      <c r="M53" s="28"/>
      <c r="N53" s="28">
        <f>IF(COUNT($M$17:$M$57)&lt;=$M$15,"",IF(M53&lt;=SMALL($M$17:$M$58,$M$15),"Qualifié",""))</f>
      </c>
      <c r="Q53" t="str">
        <f t="shared" si="0"/>
        <v> </v>
      </c>
      <c r="R53" s="30">
        <f t="shared" si="1"/>
        <v>0</v>
      </c>
    </row>
    <row r="54" spans="1:18" ht="12.75">
      <c r="A54" s="38"/>
      <c r="B54" s="39"/>
      <c r="C54" s="40"/>
      <c r="D54" s="40"/>
      <c r="E54" s="39"/>
      <c r="F54" s="40"/>
      <c r="H54" s="32" t="s">
        <v>47</v>
      </c>
      <c r="I54" s="41"/>
      <c r="J54" s="28">
        <f>IF(COUNT($I$18:$I$58)&lt;=$I$15,"",IF(I54&lt;=SMALL($I$17:$I$58,$I$15),"Qualifié",""))</f>
      </c>
      <c r="K54" s="14"/>
      <c r="L54" s="28"/>
      <c r="M54" s="32" t="s">
        <v>47</v>
      </c>
      <c r="N54" s="28">
        <f>IF(COUNT($L$18:$L$58)&lt;=$L$15,"",IF(L54&lt;=SMALL($L$17:$L$58,$L$15),"Qualifié",""))</f>
      </c>
      <c r="Q54" t="str">
        <f t="shared" si="0"/>
        <v> </v>
      </c>
      <c r="R54" s="30">
        <f t="shared" si="1"/>
        <v>0</v>
      </c>
    </row>
    <row r="55" spans="1:18" ht="12.75">
      <c r="A55" s="38"/>
      <c r="B55" s="39"/>
      <c r="C55" s="40"/>
      <c r="D55" s="40"/>
      <c r="E55" s="39"/>
      <c r="F55" s="40"/>
      <c r="H55" s="41"/>
      <c r="I55" s="32" t="s">
        <v>47</v>
      </c>
      <c r="J55" s="28">
        <f>IF(COUNT($H$17:$H$57)&lt;=$H$15,"",IF(H55&lt;=SMALL($H$17:$H$58,$H$15),"Qualifié",""))</f>
      </c>
      <c r="K55" s="14"/>
      <c r="L55" s="32" t="s">
        <v>47</v>
      </c>
      <c r="M55" s="28"/>
      <c r="N55" s="28">
        <f>IF(COUNT($M$17:$M$57)&lt;=$M$15,"",IF(M55&lt;=SMALL($M$17:$M$58,$M$15),"Qualifié",""))</f>
      </c>
      <c r="Q55" t="str">
        <f t="shared" si="0"/>
        <v> </v>
      </c>
      <c r="R55" s="30">
        <f t="shared" si="1"/>
        <v>0</v>
      </c>
    </row>
    <row r="56" spans="1:18" ht="12.75">
      <c r="A56" s="38"/>
      <c r="B56" s="39"/>
      <c r="C56" s="40"/>
      <c r="D56" s="40"/>
      <c r="E56" s="39"/>
      <c r="F56" s="40"/>
      <c r="H56" s="32" t="s">
        <v>47</v>
      </c>
      <c r="I56" s="41"/>
      <c r="J56" s="28">
        <f>IF(COUNT($I$18:$I$58)&lt;=$I$15,"",IF(I56&lt;=SMALL($I$17:$I$58,$I$15),"Qualifié",""))</f>
      </c>
      <c r="K56" s="14"/>
      <c r="L56" s="28"/>
      <c r="M56" s="32" t="s">
        <v>47</v>
      </c>
      <c r="N56" s="28">
        <f>IF(COUNT($L$18:$L$58)&lt;=$L$15,"",IF(L56&lt;=SMALL($L$17:$L$58,$L$15),"Qualifié",""))</f>
      </c>
      <c r="Q56" t="str">
        <f t="shared" si="0"/>
        <v> </v>
      </c>
      <c r="R56" s="30">
        <f t="shared" si="1"/>
        <v>0</v>
      </c>
    </row>
    <row r="57" spans="1:18" ht="12.75">
      <c r="A57" s="38"/>
      <c r="B57" s="39"/>
      <c r="C57" s="40"/>
      <c r="D57" s="40"/>
      <c r="E57" s="39"/>
      <c r="F57" s="40"/>
      <c r="H57" s="41"/>
      <c r="I57" s="32" t="s">
        <v>47</v>
      </c>
      <c r="J57" s="28">
        <f>IF(COUNT($H$17:$H$57)&lt;=$H$15,"",IF(H57&lt;=SMALL($H$17:$H$58,$H$15),"Qualifié",""))</f>
      </c>
      <c r="K57" s="14"/>
      <c r="L57" s="32" t="s">
        <v>47</v>
      </c>
      <c r="M57" s="32"/>
      <c r="N57" s="28">
        <f>IF(COUNT($M$17:$M$57)&lt;=$M$15,"",IF(M57&lt;=SMALL($M$17:$M$58,$M$15),"Qualifié",""))</f>
      </c>
      <c r="Q57" t="str">
        <f t="shared" si="0"/>
        <v> </v>
      </c>
      <c r="R57" s="30">
        <f t="shared" si="1"/>
        <v>0</v>
      </c>
    </row>
    <row r="58" spans="1:18" ht="12.75">
      <c r="A58" s="38"/>
      <c r="B58" s="39"/>
      <c r="C58" s="40"/>
      <c r="D58" s="40"/>
      <c r="E58" s="39"/>
      <c r="F58" s="40"/>
      <c r="H58" s="32" t="s">
        <v>47</v>
      </c>
      <c r="I58" s="41"/>
      <c r="J58" s="28">
        <f>IF(COUNT($I$18:$I$58)&lt;=$I$15,"",IF(I58&lt;=SMALL($I$17:$I$58,$I$15),"Qualifié",""))</f>
      </c>
      <c r="K58" s="14"/>
      <c r="L58" s="28"/>
      <c r="M58" s="61" t="s">
        <v>47</v>
      </c>
      <c r="N58" s="28">
        <f>IF(COUNT($L$18:$L$58)&lt;=$L$15,"",IF(L58&lt;=SMALL($L$17:$L$58,$L$15),"Qualifié",""))</f>
      </c>
      <c r="Q58" t="str">
        <f t="shared" si="0"/>
        <v> </v>
      </c>
      <c r="R58" s="30">
        <f t="shared" si="1"/>
        <v>0</v>
      </c>
    </row>
    <row r="59" ht="12.75">
      <c r="I59" s="29"/>
    </row>
  </sheetData>
  <mergeCells count="2">
    <mergeCell ref="H14:J14"/>
    <mergeCell ref="L14:N14"/>
  </mergeCells>
  <conditionalFormatting sqref="H17:H58">
    <cfRule type="cellIs" priority="1" dxfId="0" operator="lessThanOrEqual" stopIfTrue="1">
      <formula>SMALL($H$17:$H$58,$H$15)</formula>
    </cfRule>
  </conditionalFormatting>
  <conditionalFormatting sqref="I17:I58">
    <cfRule type="cellIs" priority="2" dxfId="1" operator="lessThanOrEqual" stopIfTrue="1">
      <formula>SMALL($I$17:$I$58,$I$15)</formula>
    </cfRule>
  </conditionalFormatting>
  <conditionalFormatting sqref="M17:M58">
    <cfRule type="cellIs" priority="3" dxfId="1" operator="lessThanOrEqual" stopIfTrue="1">
      <formula>SMALL($M$17:$M$58,$M$15)</formula>
    </cfRule>
  </conditionalFormatting>
  <conditionalFormatting sqref="L17:L58">
    <cfRule type="cellIs" priority="4" dxfId="0" operator="lessThanOrEqual" stopIfTrue="1">
      <formula>SMALL($L$17:$L$58,$L$15)</formula>
    </cfRule>
  </conditionalFormatting>
  <dataValidations count="1">
    <dataValidation errorStyle="warning" type="decimal" allowBlank="1" showErrorMessage="1" promptTitle="Saisie du temps par manche" prompt="Temps par manche - Format 99.999" errorTitle="Saisie du temps par manche" error="Temps de la manche hors norme." sqref="L17:M58 H17:I58">
      <formula1>0</formula1>
      <formula2>99.99</formula2>
    </dataValidation>
  </dataValidations>
  <printOptions horizontalCentered="1"/>
  <pageMargins left="0.75" right="0.75" top="1" bottom="1" header="0.5" footer="0.5"/>
  <pageSetup blackAndWhite="1" fitToHeight="1" fitToWidth="1" horizontalDpi="600" verticalDpi="600" orientation="portrait" scale="75" r:id="rId4"/>
  <headerFooter alignWithMargins="0">
    <oddFooter>&amp;L&amp;8c2000:&amp;F:&amp;A&amp;C&amp;8Page &amp;P de &amp;N&amp;R&amp;8&amp;D@&amp;T</oddFooter>
  </headerFooter>
  <drawing r:id="rId3"/>
  <legacyDrawing r:id="rId2"/>
  <oleObjects>
    <oleObject progId="Word.Document.8" shapeId="39154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H32"/>
  <sheetViews>
    <sheetView showZeros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19.28125" style="0" customWidth="1"/>
    <col min="3" max="3" width="7.8515625" style="0" customWidth="1"/>
    <col min="4" max="4" width="10.8515625" style="0" customWidth="1"/>
    <col min="5" max="5" width="2.8515625" style="0" customWidth="1"/>
    <col min="6" max="6" width="32.00390625" style="0" customWidth="1"/>
    <col min="7" max="7" width="3.28125" style="0" customWidth="1"/>
    <col min="8" max="8" width="14.140625" style="0" customWidth="1"/>
    <col min="9" max="16384" width="9.140625" style="0" customWidth="1"/>
  </cols>
  <sheetData>
    <row r="1" spans="6:7" ht="18">
      <c r="F1" s="17" t="str">
        <f>Résultats!H1</f>
        <v>Zone de ski de l'Estrie</v>
      </c>
      <c r="G1" s="17"/>
    </row>
    <row r="2" spans="6:7" ht="18">
      <c r="F2" s="17">
        <f>Résultats!H2</f>
        <v>0</v>
      </c>
      <c r="G2" s="17"/>
    </row>
    <row r="3" spans="6:7" ht="18">
      <c r="F3" s="17" t="str">
        <f>Résultats!H3</f>
        <v>Parallèle</v>
      </c>
      <c r="G3" s="17"/>
    </row>
    <row r="4" spans="6:7" ht="18">
      <c r="F4" s="17" t="str">
        <f>Résultats!H4</f>
        <v>Catégorie K2 (13-14 ans)</v>
      </c>
      <c r="G4" s="17"/>
    </row>
    <row r="5" spans="6:7" ht="18">
      <c r="F5" s="17" t="str">
        <f>Résultats!H5</f>
        <v>Bromont - Québec</v>
      </c>
      <c r="G5" s="17"/>
    </row>
    <row r="6" spans="6:7" ht="18">
      <c r="F6" s="17" t="str">
        <f>Résultats!H6</f>
        <v>10-Février-2001</v>
      </c>
      <c r="G6" s="17"/>
    </row>
    <row r="7" spans="6:7" ht="18">
      <c r="F7" s="17"/>
      <c r="G7" s="17"/>
    </row>
    <row r="8" spans="6:7" ht="18">
      <c r="F8" s="17"/>
      <c r="G8" s="17"/>
    </row>
    <row r="9" spans="6:7" ht="18">
      <c r="F9" s="18" t="s">
        <v>38</v>
      </c>
      <c r="G9" s="18"/>
    </row>
    <row r="10" spans="6:7" ht="18">
      <c r="F10" s="18" t="str">
        <f>Résultats!H10</f>
        <v>Femmes</v>
      </c>
      <c r="G10" s="18"/>
    </row>
    <row r="16" spans="4:8" ht="15.75">
      <c r="D16" s="21" t="s">
        <v>1</v>
      </c>
      <c r="E16" s="42"/>
      <c r="F16" s="22" t="s">
        <v>2</v>
      </c>
      <c r="G16" s="42"/>
      <c r="H16" s="22" t="s">
        <v>3</v>
      </c>
    </row>
    <row r="17" spans="4:8" ht="15">
      <c r="D17" s="19">
        <v>1</v>
      </c>
      <c r="E17" s="19"/>
      <c r="F17" s="20">
        <f>IF(COUNT(Qualifications!$H$17:$H$58)&gt;=1,VLOOKUP(SMALL([0]!Manche1Rouge,1),[0]!Manche1RougeAthletes,10,FALSE),"")</f>
      </c>
      <c r="G17" s="20"/>
      <c r="H17" s="20">
        <f>IF(COUNT(Qualifications!$H$17:$H$58)&gt;=1,VLOOKUP(SMALL([0]!Manche1Rouge,1),[0]!Manche1RougeAthletes,11,FALSE),"")</f>
      </c>
    </row>
    <row r="18" spans="4:8" ht="15">
      <c r="D18" s="19">
        <v>2</v>
      </c>
      <c r="E18" s="19"/>
      <c r="F18" s="20">
        <f>IF(COUNT(Qualifications!$I$17:$I$58)&gt;=1,VLOOKUP(SMALL([0]!Manche1Bleu,1),[0]!Manche1BleuAthletes,9,FALSE),"")</f>
      </c>
      <c r="G18" s="20"/>
      <c r="H18" s="20">
        <f>IF(COUNT(Qualifications!$I$17:$I$58)&gt;=1,VLOOKUP(SMALL([0]!Manche1Bleu,1),[0]!Manche1BleuAthletes,10,FALSE),"")</f>
      </c>
    </row>
    <row r="19" spans="4:8" ht="15">
      <c r="D19" s="19">
        <v>3</v>
      </c>
      <c r="E19" s="19"/>
      <c r="F19" s="20">
        <f>IF(COUNT(Qualifications!$H$17:$H$58)&gt;=2,VLOOKUP(SMALL([0]!Manche1Rouge,2),[0]!Manche1RougeAthletes,10,FALSE),"")</f>
      </c>
      <c r="G19" s="20"/>
      <c r="H19" s="20">
        <f>IF(COUNT(Qualifications!$H$17:$H$58)&gt;=2,VLOOKUP(SMALL([0]!Manche1Rouge,2),[0]!Manche1RougeAthletes,11,FALSE),"")</f>
      </c>
    </row>
    <row r="20" spans="4:8" ht="15">
      <c r="D20" s="19">
        <v>4</v>
      </c>
      <c r="E20" s="19"/>
      <c r="F20" s="20">
        <f>IF(COUNT(Qualifications!$I$17:$I$58)&gt;=2,VLOOKUP(SMALL([0]!Manche1Bleu,2),[0]!Manche1BleuAthletes,9,FALSE),"")</f>
      </c>
      <c r="G20" s="20"/>
      <c r="H20" s="20">
        <f>IF(COUNT(Qualifications!$I$17:$I$58)&gt;=2,VLOOKUP(SMALL([0]!Manche1Bleu,2),[0]!Manche1BleuAthletes,10,FALSE),"")</f>
      </c>
    </row>
    <row r="21" spans="4:8" ht="15">
      <c r="D21" s="19">
        <v>5</v>
      </c>
      <c r="E21" s="19"/>
      <c r="F21" s="20">
        <f>IF(COUNT(Qualifications!$H$17:$H$58)&gt;=3,VLOOKUP(SMALL([0]!Manche1Rouge,3),[0]!Manche1RougeAthletes,10,FALSE),"")</f>
      </c>
      <c r="G21" s="20"/>
      <c r="H21" s="20">
        <f>IF(COUNT(Qualifications!$H$17:$H$58)&gt;=3,VLOOKUP(SMALL([0]!Manche1Rouge,3),[0]!Manche1RougeAthletes,11,FALSE),"")</f>
      </c>
    </row>
    <row r="22" spans="4:8" ht="15">
      <c r="D22" s="19">
        <v>6</v>
      </c>
      <c r="E22" s="19"/>
      <c r="F22" s="20">
        <f>IF(COUNT(Qualifications!$I$17:$I$58)&gt;=3,VLOOKUP(SMALL([0]!Manche1Bleu,3),[0]!Manche1BleuAthletes,9,FALSE),"")</f>
      </c>
      <c r="G22" s="20"/>
      <c r="H22" s="20">
        <f>IF(COUNT(Qualifications!$I$17:$I$58)&gt;=3,VLOOKUP(SMALL([0]!Manche1Bleu,3),[0]!Manche1BleuAthletes,10,FALSE),"")</f>
      </c>
    </row>
    <row r="23" spans="4:8" ht="15">
      <c r="D23" s="19">
        <v>7</v>
      </c>
      <c r="E23" s="19"/>
      <c r="F23" s="20">
        <f>IF(COUNT(Qualifications!$H$17:$H$58)&gt;=4,VLOOKUP(SMALL([0]!Manche1Rouge,4),[0]!Manche1RougeAthletes,10,FALSE),"")</f>
      </c>
      <c r="G23" s="20"/>
      <c r="H23" s="20">
        <f>IF(COUNT(Qualifications!$H$17:$H$58)&gt;=4,VLOOKUP(SMALL([0]!Manche1Rouge,4),[0]!Manche1RougeAthletes,11,FALSE),"")</f>
      </c>
    </row>
    <row r="24" spans="4:8" ht="15">
      <c r="D24" s="19">
        <v>8</v>
      </c>
      <c r="E24" s="19"/>
      <c r="F24" s="20">
        <f>IF(COUNT(Qualifications!$I$17:$I$58)&gt;=4,VLOOKUP(SMALL([0]!Manche1Bleu,4),[0]!Manche1BleuAthletes,9,FALSE),"")</f>
      </c>
      <c r="G24" s="20"/>
      <c r="H24" s="20">
        <f>IF(COUNT(Qualifications!$I$17:$I$58)&gt;=4,VLOOKUP(SMALL([0]!Manche1Bleu,4),[0]!Manche1BleuAthletes,10,FALSE),"")</f>
      </c>
    </row>
    <row r="25" spans="4:8" ht="15">
      <c r="D25" s="19">
        <v>9</v>
      </c>
      <c r="E25" s="19"/>
      <c r="F25" s="20">
        <f>IF(COUNT(Qualifications!$L$17:$L$58)&gt;=1,VLOOKUP(SMALL([0]!Manche2Rouge,1),[0]!Manche2RougeAthletes,6,FALSE),"")</f>
      </c>
      <c r="G25" s="20"/>
      <c r="H25" s="20">
        <f>IF(COUNT(Qualifications!$L$17:$L$58)&gt;=1,VLOOKUP(SMALL([0]!Manche2Rouge,1),[0]!Manche2RougeAthletes,7,FALSE),"")</f>
      </c>
    </row>
    <row r="26" spans="4:8" ht="15">
      <c r="D26" s="19">
        <v>10</v>
      </c>
      <c r="E26" s="19"/>
      <c r="F26" s="20">
        <f>IF(COUNT(Qualifications!$M$17:$M$58)&gt;=1,VLOOKUP(SMALL([0]!Manche2Bleu,1),[0]!Manche2BleuAthletes,5,FALSE),"")</f>
      </c>
      <c r="G26" s="20"/>
      <c r="H26" s="20">
        <f>IF(COUNT(Qualifications!$M$17:$M$58)&gt;=1,VLOOKUP(SMALL([0]!Manche2Bleu,1),[0]!Manche2BleuAthletes,6,FALSE),"")</f>
      </c>
    </row>
    <row r="27" spans="4:8" ht="15">
      <c r="D27" s="19">
        <v>11</v>
      </c>
      <c r="E27" s="19"/>
      <c r="F27" s="20">
        <f>IF(COUNT(Qualifications!$L$17:$L$58)&gt;=2,VLOOKUP(SMALL([0]!Manche2Rouge,2),[0]!Manche2RougeAthletes,6,FALSE),"")</f>
      </c>
      <c r="G27" s="20"/>
      <c r="H27" s="20">
        <f>IF(COUNT(Qualifications!$L$17:$L$58)&gt;=2,VLOOKUP(SMALL([0]!Manche2Rouge,2),[0]!Manche2RougeAthletes,7,FALSE),"")</f>
      </c>
    </row>
    <row r="28" spans="4:8" ht="15">
      <c r="D28" s="19">
        <v>12</v>
      </c>
      <c r="E28" s="19"/>
      <c r="F28" s="20">
        <f>IF(COUNT(Qualifications!$M$17:$M$58)&gt;=2,VLOOKUP(SMALL([0]!Manche2Bleu,2),[0]!Manche2BleuAthletes,5,FALSE),"")</f>
      </c>
      <c r="G28" s="20"/>
      <c r="H28" s="20">
        <f>IF(COUNT(Qualifications!$M$17:$M$58)&gt;=2,VLOOKUP(SMALL([0]!Manche2Bleu,2),[0]!Manche2BleuAthletes,6,FALSE),"")</f>
      </c>
    </row>
    <row r="29" spans="4:8" ht="15">
      <c r="D29" s="19">
        <v>13</v>
      </c>
      <c r="E29" s="19"/>
      <c r="F29" s="20">
        <f>IF(COUNT(Qualifications!$L$17:$L$58)&gt;=2,VLOOKUP(SMALL([0]!Manche2Rouge,3),[0]!Manche2RougeAthletes,6,FALSE),"")</f>
      </c>
      <c r="G29" s="20"/>
      <c r="H29" s="20">
        <f>IF(COUNT(Qualifications!$L$17:$L$58)&gt;=2,VLOOKUP(SMALL([0]!Manche2Rouge,3),[0]!Manche2RougeAthletes,7,FALSE),"")</f>
      </c>
    </row>
    <row r="30" spans="4:8" ht="15">
      <c r="D30" s="19">
        <v>14</v>
      </c>
      <c r="E30" s="19"/>
      <c r="F30" s="20">
        <f>IF(COUNT(Qualifications!$M$17:$M$58)&gt;=3,VLOOKUP(SMALL([0]!Manche2Bleu,3),[0]!Manche2BleuAthletes,5,FALSE),"")</f>
      </c>
      <c r="G30" s="20"/>
      <c r="H30" s="20">
        <f>IF(COUNT(Qualifications!$M$17:$M$58)&gt;=3,VLOOKUP(SMALL([0]!Manche2Bleu,3),[0]!Manche2BleuAthletes,6,FALSE),"")</f>
      </c>
    </row>
    <row r="31" spans="4:8" ht="15">
      <c r="D31" s="19">
        <v>15</v>
      </c>
      <c r="E31" s="19"/>
      <c r="F31" s="20">
        <f>IF(COUNT(Qualifications!$L$17:$L$58)&gt;=2,VLOOKUP(SMALL([0]!Manche2Rouge,4),[0]!Manche2RougeAthletes,6,FALSE),"")</f>
      </c>
      <c r="G31" s="20"/>
      <c r="H31" s="20">
        <f>IF(COUNT(Qualifications!$L$17:$L$58)&gt;=2,VLOOKUP(SMALL([0]!Manche2Rouge,4),[0]!Manche2RougeAthletes,7,FALSE),"")</f>
      </c>
    </row>
    <row r="32" spans="4:8" ht="15">
      <c r="D32" s="19">
        <v>16</v>
      </c>
      <c r="E32" s="19"/>
      <c r="F32" s="20">
        <f>IF(COUNT(Qualifications!$M$17:$M$58)&gt;=4,VLOOKUP(SMALL([0]!Manche2Bleu,4),[0]!Manche2BleuAthletes,5,FALSE),"")</f>
      </c>
      <c r="G32" s="20"/>
      <c r="H32" s="20">
        <f>IF(COUNT(Qualifications!$M$17:$M$58)&gt;=4,VLOOKUP(SMALL([0]!Manche2Bleu,4),[0]!Manche2BleuAthletes,6,FALSE),"")</f>
      </c>
    </row>
  </sheetData>
  <printOptions horizontalCentered="1"/>
  <pageMargins left="0.75" right="0.75" top="1" bottom="1" header="0.5" footer="0.5"/>
  <pageSetup fitToHeight="1" fitToWidth="1" horizontalDpi="300" verticalDpi="300" orientation="portrait" scale="74" r:id="rId4"/>
  <headerFooter alignWithMargins="0">
    <oddFooter>&amp;L&amp;8c2000:&amp;F:&amp;A&amp;CPage &amp;P de &amp;N&amp;R&amp;8&amp;D@&amp;T</oddFooter>
  </headerFooter>
  <drawing r:id="rId3"/>
  <legacyDrawing r:id="rId2"/>
  <oleObjects>
    <oleObject progId="Word.Document.8" shapeId="391270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7"/>
  <sheetViews>
    <sheetView showZero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28.7109375" style="0" customWidth="1"/>
    <col min="3" max="4" width="9.140625" style="0" customWidth="1"/>
    <col min="5" max="5" width="11.57421875" style="0" customWidth="1"/>
    <col min="6" max="6" width="28.7109375" style="0" customWidth="1"/>
    <col min="7" max="9" width="9.140625" style="0" customWidth="1"/>
    <col min="10" max="10" width="28.7109375" style="0" customWidth="1"/>
    <col min="11" max="12" width="9.140625" style="0" customWidth="1"/>
    <col min="13" max="13" width="9.28125" style="0" customWidth="1"/>
    <col min="14" max="14" width="28.7109375" style="0" customWidth="1"/>
    <col min="15" max="16" width="9.140625" style="0" customWidth="1"/>
    <col min="17" max="17" width="9.28125" style="0" customWidth="1"/>
    <col min="18" max="18" width="28.7109375" style="0" customWidth="1"/>
    <col min="19" max="19" width="10.421875" style="0" customWidth="1"/>
    <col min="20" max="16384" width="9.140625" style="0" customWidth="1"/>
  </cols>
  <sheetData>
    <row r="1" ht="18">
      <c r="J1" s="17" t="str">
        <f>Résultats!H1</f>
        <v>Zone de ski de l'Estrie</v>
      </c>
    </row>
    <row r="2" ht="18">
      <c r="J2" s="17">
        <f>Résultats!H2</f>
        <v>0</v>
      </c>
    </row>
    <row r="3" ht="18">
      <c r="J3" s="17" t="str">
        <f>Résultats!H3</f>
        <v>Parallèle</v>
      </c>
    </row>
    <row r="4" ht="18">
      <c r="J4" s="17" t="str">
        <f>Résultats!H4</f>
        <v>Catégorie K2 (13-14 ans)</v>
      </c>
    </row>
    <row r="5" ht="18">
      <c r="J5" s="17" t="str">
        <f>Résultats!H5</f>
        <v>Bromont - Québec</v>
      </c>
    </row>
    <row r="6" ht="18">
      <c r="J6" s="27" t="str">
        <f>Résultats!H6</f>
        <v>10-Février-2001</v>
      </c>
    </row>
    <row r="7" ht="18">
      <c r="J7" s="27"/>
    </row>
    <row r="8" ht="18">
      <c r="J8" s="17">
        <f>Résultats!H7</f>
        <v>0</v>
      </c>
    </row>
    <row r="9" ht="18">
      <c r="J9" s="18" t="str">
        <f>Résultats!H9</f>
        <v>Résultats officiels</v>
      </c>
    </row>
    <row r="10" ht="18">
      <c r="J10" s="18" t="str">
        <f>Résultats!H10</f>
        <v>Femmes</v>
      </c>
    </row>
    <row r="13" spans="3:17" ht="12.75">
      <c r="C13" s="8" t="s">
        <v>5</v>
      </c>
      <c r="D13" s="8"/>
      <c r="E13" s="8"/>
      <c r="G13" s="9" t="s">
        <v>6</v>
      </c>
      <c r="H13" s="9"/>
      <c r="I13" s="9"/>
      <c r="K13" s="9" t="s">
        <v>7</v>
      </c>
      <c r="L13" s="9"/>
      <c r="M13" s="9"/>
      <c r="O13" s="9" t="s">
        <v>8</v>
      </c>
      <c r="P13" s="9"/>
      <c r="Q13" s="9"/>
    </row>
    <row r="14" spans="3:17" ht="12.75">
      <c r="C14" s="1" t="s">
        <v>9</v>
      </c>
      <c r="D14" s="1" t="s">
        <v>10</v>
      </c>
      <c r="E14" s="1" t="s">
        <v>11</v>
      </c>
      <c r="G14" s="1" t="s">
        <v>9</v>
      </c>
      <c r="H14" s="1" t="s">
        <v>10</v>
      </c>
      <c r="I14" s="1" t="s">
        <v>11</v>
      </c>
      <c r="K14" s="1" t="s">
        <v>9</v>
      </c>
      <c r="L14" s="1" t="s">
        <v>10</v>
      </c>
      <c r="M14" s="1" t="s">
        <v>11</v>
      </c>
      <c r="O14" s="1" t="s">
        <v>9</v>
      </c>
      <c r="P14" s="1" t="s">
        <v>10</v>
      </c>
      <c r="Q14" s="1" t="s">
        <v>11</v>
      </c>
    </row>
    <row r="15" spans="3:17" ht="12.75">
      <c r="C15" s="1"/>
      <c r="D15" s="1"/>
      <c r="E15" s="1"/>
      <c r="G15" s="1"/>
      <c r="H15" s="1"/>
      <c r="I15" s="1"/>
      <c r="K15" s="1"/>
      <c r="L15" s="1"/>
      <c r="M15" s="1"/>
      <c r="O15" s="1"/>
      <c r="P15" s="1"/>
      <c r="Q15" s="1"/>
    </row>
    <row r="16" spans="2:5" ht="12.75">
      <c r="B16" s="4" t="str">
        <f>CONCATENATE(Sélections!D17,"- ",Sélections!F17)</f>
        <v>1- </v>
      </c>
      <c r="C16" s="49" t="s">
        <v>41</v>
      </c>
      <c r="D16" s="50" t="s">
        <v>42</v>
      </c>
      <c r="E16" s="7">
        <f>IF(SUM(C16:D16)&lt;SUM(C18:D18),SUM(C16:D16)-SUM(C18:D18),0)</f>
        <v>0</v>
      </c>
    </row>
    <row r="17" spans="3:6" ht="12.75">
      <c r="C17" s="51">
        <v>1</v>
      </c>
      <c r="D17" s="51"/>
      <c r="E17" s="5" t="str">
        <f>IF(OR(COUNT(C16:C18)&gt;2,COUNT(D16:D18)&gt;2),"Double entrée!",IF(AND(E16=E18,D17&lt;&gt;0),"Égalité",IF(COUNT(C17:D17)&lt;2,"Entrer RunNumber","")))</f>
        <v>Entrer RunNumber</v>
      </c>
      <c r="F17" s="4">
        <f>IF(ISNUMBER(D17),IF(E16&lt;E18,B16,B18),"")</f>
      </c>
    </row>
    <row r="18" spans="2:10" ht="12.75">
      <c r="B18" s="4" t="str">
        <f>CONCATENATE(Sélections!D32,"- ",Sélections!F32)</f>
        <v>16- </v>
      </c>
      <c r="C18" s="50" t="s">
        <v>42</v>
      </c>
      <c r="D18" s="59" t="s">
        <v>41</v>
      </c>
      <c r="E18" s="7">
        <f>IF(SUM(C18:D18)&lt;SUM(C16:D16),SUM(C18:D18)-SUM(C16:D16),0)</f>
        <v>0</v>
      </c>
      <c r="G18" s="57"/>
      <c r="H18" s="58"/>
      <c r="I18" s="7">
        <f>IF(SUM(G18:H18)&lt;SUM(G20:H20),SUM(G18:H18)-SUM(G20:H20),0)</f>
        <v>0</v>
      </c>
      <c r="J18" s="2"/>
    </row>
    <row r="19" spans="3:10" ht="12.75">
      <c r="C19" s="35"/>
      <c r="D19" s="35"/>
      <c r="G19" s="51"/>
      <c r="H19" s="51"/>
      <c r="I19" s="5" t="str">
        <f>IF(OR(COUNT(G18:H18)&gt;2,COUNT(G20:H20)&gt;2),"Double entrée!",IF(AND(I18=I20,H19&lt;&gt;0),"Égalité",IF(COUNT(G19:H19)&lt;2,"Entrer RunNumber","")))</f>
        <v>Entrer RunNumber</v>
      </c>
      <c r="J19" s="4">
        <f>IF(I18&lt;I20,F17,F21)</f>
      </c>
    </row>
    <row r="20" spans="2:14" ht="12.75">
      <c r="B20" s="4" t="str">
        <f>CONCATENATE(Sélections!D25,"- ",Sélections!F25)</f>
        <v>9- </v>
      </c>
      <c r="C20" s="50" t="s">
        <v>42</v>
      </c>
      <c r="D20" s="49" t="s">
        <v>41</v>
      </c>
      <c r="E20" s="7">
        <f>IF(SUM(C20:D20)&lt;SUM(C22:D22),SUM(C20:D20)-SUM(C22:D22),0)</f>
        <v>0</v>
      </c>
      <c r="G20" s="57"/>
      <c r="H20" s="52"/>
      <c r="I20" s="7">
        <f>IF(SUM(G20:H20)&lt;SUM(G18:H18),SUM(G20:H20)-SUM(G18:H18),0)</f>
        <v>0</v>
      </c>
      <c r="K20" s="11"/>
      <c r="L20" s="6"/>
      <c r="M20" s="3"/>
      <c r="N20" s="2"/>
    </row>
    <row r="21" spans="3:11" ht="12.75">
      <c r="C21" s="51">
        <v>2</v>
      </c>
      <c r="D21" s="51"/>
      <c r="E21" s="5" t="str">
        <f>IF(OR(COUNT(C20:C22)&gt;2,COUNT(D20:D22)&gt;2),"Double entrée!",IF(AND(E20=E22,D21&lt;&gt;0),"Égalité",IF(COUNT(C21:D21)&lt;2,"Entrer RunNumber","")))</f>
        <v>Entrer RunNumber</v>
      </c>
      <c r="F21" s="4">
        <f>IF(ISNUMBER(D21),IF(E20&lt;E22,B20,B22),"")</f>
      </c>
      <c r="G21" s="35"/>
      <c r="H21" s="35"/>
      <c r="K21" s="10"/>
    </row>
    <row r="22" spans="2:13" ht="12.75">
      <c r="B22" s="4" t="str">
        <f>CONCATENATE(Sélections!D24,"- ",Sélections!F24)</f>
        <v>8- </v>
      </c>
      <c r="C22" s="49" t="s">
        <v>41</v>
      </c>
      <c r="D22" s="60" t="s">
        <v>42</v>
      </c>
      <c r="E22" s="7">
        <f>IF(SUM(C22:D22)&lt;SUM(C20:D20),SUM(C22:D22)-SUM(C20:D20),0)</f>
        <v>0</v>
      </c>
      <c r="G22" s="35"/>
      <c r="H22" s="35"/>
      <c r="K22" s="57"/>
      <c r="L22" s="58"/>
      <c r="M22" s="7">
        <f>IF(SUM(K22:L22)&lt;SUM(K24:L24),SUM(K22:L22)-SUM(K24:L24),0)</f>
        <v>0</v>
      </c>
    </row>
    <row r="23" spans="3:14" ht="12.75">
      <c r="C23" s="35"/>
      <c r="D23" s="35"/>
      <c r="G23" s="35"/>
      <c r="H23" s="35"/>
      <c r="K23" s="51"/>
      <c r="L23" s="51"/>
      <c r="M23" s="5" t="str">
        <f>IF(OR(COUNT(K22:K22)&gt;2,COUNT(K24:L24)&gt;2),"Double entrée!",IF(AND(M22=M24,L23&lt;&gt;0),"Égalité",IF(COUNT(K23:L23)&lt;2,"Entrer RunNumber","")))</f>
        <v>Entrer RunNumber</v>
      </c>
      <c r="N23" s="4">
        <f>IF($M$22&lt;$M$24,$J$19,$J$27)</f>
      </c>
    </row>
    <row r="24" spans="2:15" ht="12.75">
      <c r="B24" s="4" t="str">
        <f>CONCATENATE(Sélections!D21,"- ",Sélections!F21)</f>
        <v>5- </v>
      </c>
      <c r="C24" s="49" t="s">
        <v>41</v>
      </c>
      <c r="D24" s="50" t="s">
        <v>42</v>
      </c>
      <c r="E24" s="7">
        <f>IF(SUM(C24:D24)&lt;SUM(C26:D26),SUM(C24:D24)-SUM(C26:D26),0)</f>
        <v>0</v>
      </c>
      <c r="G24" s="35"/>
      <c r="H24" s="35"/>
      <c r="K24" s="57"/>
      <c r="L24" s="52"/>
      <c r="M24" s="7">
        <f>IF(SUM(K24:L24)&lt;SUM(K22:L22),SUM(K24:L24)-SUM(K22:L22),0)</f>
        <v>0</v>
      </c>
      <c r="O24" s="10"/>
    </row>
    <row r="25" spans="3:15" ht="12.75">
      <c r="C25" s="51">
        <v>3</v>
      </c>
      <c r="D25" s="51"/>
      <c r="E25" s="5" t="str">
        <f>IF(OR(COUNT(C24:C26)&gt;2,COUNT(D24:D26)&gt;2),"Double entrée!",IF(AND(E24=E26,D25&lt;&gt;0),"Égalité",IF(COUNT(C25:D25)&lt;2,"Entrer RunNumber","")))</f>
        <v>Entrer RunNumber</v>
      </c>
      <c r="F25" s="4">
        <f>IF(ISNUMBER(D25),IF(E24&lt;E26,B24,B26),"")</f>
      </c>
      <c r="G25" s="52"/>
      <c r="H25" s="52"/>
      <c r="I25" s="7"/>
      <c r="K25" s="53"/>
      <c r="L25" s="35"/>
      <c r="O25" s="10"/>
    </row>
    <row r="26" spans="2:15" ht="12.75">
      <c r="B26" s="4" t="str">
        <f>CONCATENATE(Sélections!D28,"- ",Sélections!F28)</f>
        <v>12- </v>
      </c>
      <c r="C26" s="50" t="s">
        <v>42</v>
      </c>
      <c r="D26" s="59" t="s">
        <v>41</v>
      </c>
      <c r="E26" s="7">
        <f>IF(SUM(C26:D26)&lt;SUM(C24:D24),SUM(C26:D26)-SUM(C24:D24),0)</f>
        <v>0</v>
      </c>
      <c r="G26" s="57"/>
      <c r="H26" s="58"/>
      <c r="I26" s="7">
        <f>IF(SUM(G26:H26)&lt;SUM(G28:H28),SUM(G26:H26)-SUM(G28:H28),0)</f>
        <v>0</v>
      </c>
      <c r="J26" s="2"/>
      <c r="K26" s="54"/>
      <c r="L26" s="55"/>
      <c r="O26" s="10"/>
    </row>
    <row r="27" spans="3:15" ht="12.75">
      <c r="C27" s="35"/>
      <c r="D27" s="35"/>
      <c r="G27" s="51"/>
      <c r="H27" s="51"/>
      <c r="I27" s="5" t="str">
        <f>IF(OR(COUNT(G26:H26)&gt;2,COUNT(G28:H28)&gt;2),"Double entrée!",IF(AND(I26=I28,H27&lt;&gt;0),"Égalité",IF(COUNT(G27:H27)&lt;2,"Entrer RunNumber","")))</f>
        <v>Entrer RunNumber</v>
      </c>
      <c r="J27" s="4">
        <f>IF(I26&lt;I28,F25,F29)</f>
      </c>
      <c r="K27" s="35"/>
      <c r="L27" s="35"/>
      <c r="O27" s="10"/>
    </row>
    <row r="28" spans="2:15" ht="12.75">
      <c r="B28" s="4" t="str">
        <f>CONCATENATE(Sélections!D29,"- ",Sélections!F29)</f>
        <v>13- </v>
      </c>
      <c r="C28" s="50" t="s">
        <v>42</v>
      </c>
      <c r="D28" s="49" t="s">
        <v>41</v>
      </c>
      <c r="E28" s="7">
        <f>IF(SUM(C28:D28)&lt;SUM(C30:D30),SUM(C28:D28)-SUM(C30:D30),0)</f>
        <v>0</v>
      </c>
      <c r="G28" s="57"/>
      <c r="H28" s="52"/>
      <c r="I28" s="7">
        <f>IF(SUM(G28:H28)&lt;SUM(G26:H26),SUM(G28:H28)-SUM(G26:H26),0)</f>
        <v>0</v>
      </c>
      <c r="K28" s="56"/>
      <c r="L28" s="56"/>
      <c r="M28" s="12"/>
      <c r="N28" s="12"/>
      <c r="O28" s="10"/>
    </row>
    <row r="29" spans="3:15" ht="12.75">
      <c r="C29" s="51">
        <v>4</v>
      </c>
      <c r="D29" s="51"/>
      <c r="E29" s="5" t="str">
        <f>IF(OR(COUNT(C28:C30)&gt;2,COUNT(D28:D30)&gt;2),"Double entrée!",IF(AND(E28=E30,D29&lt;&gt;0),"Égalité",IF(COUNT(C29:D29)&lt;2,"Entrer RunNumber","")))</f>
        <v>Entrer RunNumber</v>
      </c>
      <c r="F29" s="4">
        <f>IF(ISNUMBER(D29),IF(E28&lt;E30,B28,B30),"")</f>
      </c>
      <c r="G29" s="52"/>
      <c r="H29" s="52"/>
      <c r="I29" s="7"/>
      <c r="K29" s="56"/>
      <c r="L29" s="56"/>
      <c r="M29" s="12"/>
      <c r="N29" s="12"/>
      <c r="O29" s="10"/>
    </row>
    <row r="30" spans="2:17" ht="12.75">
      <c r="B30" s="4" t="str">
        <f>CONCATENATE(Sélections!D20,"- ",Sélections!F20)</f>
        <v>4- </v>
      </c>
      <c r="C30" s="49" t="s">
        <v>41</v>
      </c>
      <c r="D30" s="60" t="s">
        <v>42</v>
      </c>
      <c r="E30" s="7">
        <f>IF(SUM(C30:D30)&lt;SUM(C28:D28),SUM(C30:D30)-SUM(C28:D28),0)</f>
        <v>0</v>
      </c>
      <c r="G30" s="35"/>
      <c r="H30" s="35"/>
      <c r="K30" s="56"/>
      <c r="L30" s="56"/>
      <c r="M30" s="12"/>
      <c r="N30" s="12"/>
      <c r="O30" s="57"/>
      <c r="P30" s="58"/>
      <c r="Q30" s="7">
        <f>IF(SUM(O30:P30)&lt;SUM(O32:P32),SUM(O30:P30)-SUM(O32:P32),0)</f>
        <v>0</v>
      </c>
    </row>
    <row r="31" spans="3:19" ht="12.75">
      <c r="C31" s="35"/>
      <c r="D31" s="35"/>
      <c r="G31" s="35"/>
      <c r="H31" s="35"/>
      <c r="K31" s="56"/>
      <c r="L31" s="56"/>
      <c r="M31" s="12"/>
      <c r="N31" s="12"/>
      <c r="O31" s="51"/>
      <c r="P31" s="51"/>
      <c r="Q31" s="5" t="str">
        <f>IF(OR(COUNT(O30:P30)&gt;2,COUNT(O32:P32)&gt;2),"Double entrée!",IF(AND(Q30=Q32,P31&lt;&gt;0),"Égalité",IF(COUNT(O31:P31)&lt;2,"Entrer RunNumber","")))</f>
        <v>Entrer RunNumber</v>
      </c>
      <c r="R31" s="4">
        <f>IF(Q30&lt;Q32,N23,N39)</f>
      </c>
      <c r="S31" s="13"/>
    </row>
    <row r="32" spans="2:17" ht="12.75">
      <c r="B32" s="4" t="str">
        <f>CONCATENATE(Sélections!D19,"- ",Sélections!F19)</f>
        <v>3- </v>
      </c>
      <c r="C32" s="49" t="s">
        <v>41</v>
      </c>
      <c r="D32" s="50" t="s">
        <v>42</v>
      </c>
      <c r="E32" s="7">
        <f>IF(SUM(C32:D32)&lt;SUM(C34:D34),SUM(C32:D32)-SUM(C34:D34),0)</f>
        <v>0</v>
      </c>
      <c r="G32" s="35"/>
      <c r="H32" s="35"/>
      <c r="K32" s="56"/>
      <c r="L32" s="56"/>
      <c r="M32" s="12"/>
      <c r="N32" s="12"/>
      <c r="O32" s="57"/>
      <c r="P32" s="52"/>
      <c r="Q32" s="7">
        <f>IF(SUM(O32:P32)&lt;SUM(O30:P30),SUM(O32:P32)-SUM(O30:P30),0)</f>
        <v>0</v>
      </c>
    </row>
    <row r="33" spans="3:15" ht="12.75">
      <c r="C33" s="51">
        <v>5</v>
      </c>
      <c r="D33" s="51"/>
      <c r="E33" s="5" t="str">
        <f>IF(OR(COUNT(C32:C34)&gt;2,COUNT(D32:D34)&gt;2),"Double entrée!",IF(AND(E32=E34,D33&lt;&gt;0),"Égalité",IF(COUNT(C33:D33)&lt;2,"Entrer RunNumber","")))</f>
        <v>Entrer RunNumber</v>
      </c>
      <c r="F33" s="4">
        <f>IF(ISNUMBER(D33),IF(E32&lt;E34,B32,B34),"")</f>
      </c>
      <c r="G33" s="52"/>
      <c r="H33" s="52"/>
      <c r="I33" s="7"/>
      <c r="K33" s="56"/>
      <c r="L33" s="56"/>
      <c r="M33" s="12"/>
      <c r="N33" s="12"/>
      <c r="O33" s="10"/>
    </row>
    <row r="34" spans="2:15" ht="12.75">
      <c r="B34" s="4" t="str">
        <f>CONCATENATE(Sélections!D30,"- ",Sélections!F30)</f>
        <v>14- </v>
      </c>
      <c r="C34" s="50" t="s">
        <v>42</v>
      </c>
      <c r="D34" s="59" t="s">
        <v>41</v>
      </c>
      <c r="E34" s="7">
        <f>IF(SUM(C34:D34)&lt;SUM(C32:D32),SUM(C34:D34)-SUM(C32:D32),0)</f>
        <v>0</v>
      </c>
      <c r="G34" s="57"/>
      <c r="H34" s="58"/>
      <c r="I34" s="7">
        <f>IF(SUM(G34:H34)&lt;SUM(G36:H36),SUM(G34:H34)-SUM(G36:H36),0)</f>
        <v>0</v>
      </c>
      <c r="J34" s="2"/>
      <c r="K34" s="56"/>
      <c r="L34" s="56"/>
      <c r="M34" s="12"/>
      <c r="N34" s="12"/>
      <c r="O34" s="10"/>
    </row>
    <row r="35" spans="3:15" ht="12.75">
      <c r="C35" s="35"/>
      <c r="D35" s="35"/>
      <c r="G35" s="51"/>
      <c r="H35" s="51"/>
      <c r="I35" s="5" t="str">
        <f>IF(OR(COUNT(G34:H34)&gt;2,COUNT(G36:H36)&gt;2),"Double entrée!",IF(AND(I34=I36,H35&lt;&gt;0),"Égalité",IF(COUNT(G35:H35)&lt;2,"Entrer RunNumber","")))</f>
        <v>Entrer RunNumber</v>
      </c>
      <c r="J35" s="4">
        <f>IF(I34&lt;I36,F33,F37)</f>
      </c>
      <c r="K35" s="35"/>
      <c r="L35" s="35"/>
      <c r="O35" s="10"/>
    </row>
    <row r="36" spans="2:15" ht="12.75">
      <c r="B36" s="4" t="str">
        <f>CONCATENATE(Sélections!D27,"- ",Sélections!F27)</f>
        <v>11- </v>
      </c>
      <c r="C36" s="50" t="s">
        <v>42</v>
      </c>
      <c r="D36" s="49" t="s">
        <v>41</v>
      </c>
      <c r="E36" s="7">
        <f>IF(SUM(C36:D36)&lt;SUM(C38:D38),SUM(C36:D36)-SUM(C38:D38),0)</f>
        <v>0</v>
      </c>
      <c r="G36" s="57"/>
      <c r="H36" s="52"/>
      <c r="I36" s="7">
        <f>IF(SUM(G36:H36)&lt;SUM(G34:H34),SUM(G36:H36)-SUM(G34:H34),0)</f>
        <v>0</v>
      </c>
      <c r="K36" s="54"/>
      <c r="L36" s="55"/>
      <c r="M36" s="3"/>
      <c r="N36" s="2"/>
      <c r="O36" s="10"/>
    </row>
    <row r="37" spans="3:15" ht="12.75">
      <c r="C37" s="51">
        <v>6</v>
      </c>
      <c r="D37" s="51"/>
      <c r="E37" s="5" t="str">
        <f>IF(OR(COUNT(C36:C38)&gt;2,COUNT(D36:D38)&gt;2),"Double entrée!",IF(AND(E36=E38,D37&lt;&gt;0),"Égalité",IF(COUNT(C37:D37)&lt;2,"Entrer RunNumber","")))</f>
        <v>Entrer RunNumber</v>
      </c>
      <c r="F37" s="4">
        <f>IF(ISNUMBER(D37),IF(E36&lt;E38,B36,B38),"")</f>
      </c>
      <c r="G37" s="52"/>
      <c r="H37" s="52"/>
      <c r="I37" s="7"/>
      <c r="K37" s="53"/>
      <c r="L37" s="35"/>
      <c r="O37" s="10"/>
    </row>
    <row r="38" spans="2:15" ht="12.75">
      <c r="B38" s="4" t="str">
        <f>CONCATENATE(Sélections!D22,"- ",Sélections!F22)</f>
        <v>6- </v>
      </c>
      <c r="C38" s="49" t="s">
        <v>41</v>
      </c>
      <c r="D38" s="60" t="s">
        <v>42</v>
      </c>
      <c r="E38" s="7">
        <f>IF(SUM(C38:D38)&lt;SUM(C36:D36),SUM(C38:D38)-SUM(C36:D36),0)</f>
        <v>0</v>
      </c>
      <c r="G38" s="35"/>
      <c r="H38" s="35"/>
      <c r="K38" s="57"/>
      <c r="L38" s="58"/>
      <c r="M38" s="7">
        <f>IF(SUM(K38:L38)&lt;SUM(K40:L40),SUM(K38:L38)-SUM(K40:L40),0)</f>
        <v>0</v>
      </c>
      <c r="O38" s="10"/>
    </row>
    <row r="39" spans="3:14" ht="12.75">
      <c r="C39" s="35"/>
      <c r="D39" s="35"/>
      <c r="G39" s="35"/>
      <c r="H39" s="35"/>
      <c r="K39" s="51"/>
      <c r="L39" s="51"/>
      <c r="M39" s="5" t="str">
        <f>IF(OR(COUNT(K38:K38)&gt;2,COUNT(K40:L40)&gt;2),"Double entrée!",IF(AND(M38=M40,L39&lt;&gt;0),"Égalité",IF(COUNT(K39:L39)&lt;2,"Entrer RunNumber","")))</f>
        <v>Entrer RunNumber</v>
      </c>
      <c r="N39" s="4">
        <f>IF($M$38&lt;$M$40,$J$35,$J$43)</f>
      </c>
    </row>
    <row r="40" spans="2:13" ht="12.75">
      <c r="B40" s="4" t="str">
        <f>CONCATENATE(Sélections!D23,"- ",Sélections!F23)</f>
        <v>7- </v>
      </c>
      <c r="C40" s="49" t="s">
        <v>41</v>
      </c>
      <c r="D40" s="50" t="s">
        <v>42</v>
      </c>
      <c r="E40" s="7">
        <f>IF(SUM(C40:D40)&lt;SUM(C42:D42),SUM(C40:D40)-SUM(C42:D42),0)</f>
        <v>0</v>
      </c>
      <c r="G40" s="35"/>
      <c r="H40" s="35"/>
      <c r="K40" s="57"/>
      <c r="L40" s="52"/>
      <c r="M40" s="7">
        <f>IF(SUM(K40:L40)&lt;SUM(K38:L38),SUM(K40:L40)-SUM(K38:L38),0)</f>
        <v>0</v>
      </c>
    </row>
    <row r="41" spans="3:11" ht="12.75">
      <c r="C41" s="51">
        <v>7</v>
      </c>
      <c r="D41" s="51"/>
      <c r="E41" s="5" t="str">
        <f>IF(OR(COUNT(C40:C42)&gt;2,COUNT(D40:D42)&gt;2),"Double entrée!",IF(AND(E40=E42,D41&lt;&gt;0),"Égalité",IF(COUNT(C41:D41)&lt;2,"Entrer RunNumber","")))</f>
        <v>Entrer RunNumber</v>
      </c>
      <c r="F41" s="4">
        <f>IF(ISNUMBER(D41),IF(E40&lt;E42,B40,B42),"")</f>
      </c>
      <c r="G41" s="52"/>
      <c r="H41" s="35"/>
      <c r="I41" s="7"/>
      <c r="K41" s="10"/>
    </row>
    <row r="42" spans="2:18" ht="12.75">
      <c r="B42" s="4" t="str">
        <f>CONCATENATE(Sélections!D26,"- ",Sélections!F26)</f>
        <v>10- </v>
      </c>
      <c r="C42" s="50" t="s">
        <v>42</v>
      </c>
      <c r="D42" s="59" t="s">
        <v>41</v>
      </c>
      <c r="E42" s="7">
        <f>IF(SUM(C42:D42)&lt;SUM(C40:D40),SUM(C42:D42)-SUM(C40:D40),0)</f>
        <v>0</v>
      </c>
      <c r="G42" s="57"/>
      <c r="H42" s="58"/>
      <c r="I42" s="7">
        <f>IF(SUM(G42:H42)&lt;SUM(G44:H44),SUM(G42:H42)-SUM(G44:H44),0)</f>
        <v>0</v>
      </c>
      <c r="J42" s="2"/>
      <c r="K42" s="11"/>
      <c r="L42" s="6"/>
      <c r="N42" s="9" t="s">
        <v>12</v>
      </c>
      <c r="O42" s="9"/>
      <c r="P42" s="9"/>
      <c r="Q42" s="9"/>
      <c r="R42" s="9"/>
    </row>
    <row r="43" spans="3:10" ht="12.75">
      <c r="C43" s="35"/>
      <c r="D43" s="35"/>
      <c r="G43" s="51"/>
      <c r="H43" s="51"/>
      <c r="I43" s="5" t="str">
        <f>IF(OR(COUNT(G42:H42)&gt;2,COUNT(G44:H44)&gt;2),"Double entrée!",IF(AND(I42=I44,H43&lt;&gt;0),"Égalité",IF(COUNT(G43:H43)&lt;2,"Entrer RunNumber","")))</f>
        <v>Entrer RunNumber</v>
      </c>
      <c r="J43" s="4">
        <f>IF(I42&lt;I44,F41,F45)</f>
      </c>
    </row>
    <row r="44" spans="2:17" ht="12.75">
      <c r="B44" s="4" t="str">
        <f>CONCATENATE(Sélections!D31,"- ",Sélections!F31)</f>
        <v>15- </v>
      </c>
      <c r="C44" s="50" t="s">
        <v>42</v>
      </c>
      <c r="D44" s="49" t="s">
        <v>41</v>
      </c>
      <c r="E44" s="7">
        <f>IF(SUM(C44:D44)&lt;SUM(C46:D46),SUM(C44:D44)-SUM(C46:D46),0)</f>
        <v>0</v>
      </c>
      <c r="G44" s="57"/>
      <c r="H44" s="52"/>
      <c r="I44" s="7">
        <f>IF(SUM(G44:H44)&lt;SUM(G42:H42),SUM(G44:H44)-SUM(G42:H42),0)</f>
        <v>0</v>
      </c>
      <c r="N44" s="4">
        <f>IF(M22&gt;M24,J19,J27)</f>
      </c>
      <c r="O44" s="57"/>
      <c r="P44" s="52"/>
      <c r="Q44" s="7">
        <f>IF(SUM(O44:P44)&lt;SUM(O46:P46),SUM(O44:P44)-SUM(O46:P46),0)</f>
        <v>0</v>
      </c>
    </row>
    <row r="45" spans="3:18" ht="12.75">
      <c r="C45" s="51">
        <v>8</v>
      </c>
      <c r="D45" s="51"/>
      <c r="E45" s="5" t="str">
        <f>IF(OR(COUNT(C44:C46)&gt;2,COUNT(D44:D46)&gt;2),"Double entrée!",IF(AND(E44=E46,D45&lt;&gt;0),"Égalité",IF(COUNT(C45:D45)&lt;2,"Entrer RunNumber","")))</f>
        <v>Entrer RunNumber</v>
      </c>
      <c r="F45" s="4">
        <f>IF(ISNUMBER(D45),IF(E44&lt;E46,B44,B46),"")</f>
      </c>
      <c r="G45" s="7"/>
      <c r="H45" s="7"/>
      <c r="I45" s="7"/>
      <c r="O45" s="51"/>
      <c r="P45" s="51"/>
      <c r="Q45" s="5" t="str">
        <f>IF(OR(COUNT(O44:O46)&gt;2,COUNT(P44:P46)&gt;2),"Double entrée!",IF(AND(Q44=Q46,P45&lt;&gt;0),"Égalité",IF(COUNT(O45:P45)&lt;2,"Entrer RunNumber","")))</f>
        <v>Entrer RunNumber</v>
      </c>
      <c r="R45" s="4">
        <f>IF(Q44&lt;Q46,N44,N46)</f>
      </c>
    </row>
    <row r="46" spans="2:17" ht="12.75">
      <c r="B46" s="4" t="str">
        <f>CONCATENATE(Sélections!D18,"- ",Sélections!F18)</f>
        <v>2- </v>
      </c>
      <c r="C46" s="49" t="s">
        <v>41</v>
      </c>
      <c r="D46" s="60" t="s">
        <v>42</v>
      </c>
      <c r="E46" s="7">
        <f>IF(SUM(C46:D46)&lt;SUM(C44:D44),SUM(C46:D46)-SUM(C44:D44),0)</f>
        <v>0</v>
      </c>
      <c r="N46" s="4">
        <f>IF(M38&gt;M40,J35,J43)</f>
      </c>
      <c r="O46" s="52"/>
      <c r="P46" s="52"/>
      <c r="Q46" s="7">
        <f>IF(SUM(O46:P46)&lt;SUM(O44:P44),SUM(O46:P46)-SUM(O44:P44),0)</f>
        <v>0</v>
      </c>
    </row>
    <row r="56" spans="9:11" ht="12.75">
      <c r="I56" s="15"/>
      <c r="J56" s="15"/>
      <c r="K56" s="15"/>
    </row>
    <row r="57" spans="9:11" ht="12.75">
      <c r="I57" s="1" t="s">
        <v>13</v>
      </c>
      <c r="J57" t="str">
        <f>Résultats!D15</f>
        <v>Glen Mudie</v>
      </c>
      <c r="K57" t="str">
        <f>Résultats!H15</f>
        <v>(Sutton)</v>
      </c>
    </row>
  </sheetData>
  <dataValidations count="2">
    <dataValidation errorStyle="warning" type="decimal" allowBlank="1" showErrorMessage="1" errorTitle="Saisie du temps de la manche" error="Le temps d'une manche doit être compris entre 0 et -1.5." sqref="G18:H18 O46:P46 O30:P30 G20:H20 O32:P32 G42:H42 G26:H26 O44:P44 G28:H28 G34:H34 K24:L24 K22:L22 G44:H44 K38:L38 G36:H37 K40:L40">
      <formula1>-1.5</formula1>
      <formula2>0</formula2>
    </dataValidation>
    <dataValidation errorStyle="warning" type="decimal" allowBlank="1" showErrorMessage="1" errorTitle="Saisie du temps d'une manche" error="Temps de la manche invalide.&#10;&#10;Le temps doit être compris entre 0 et -1.5." sqref="C44:D44 C38:D38 C40:D40 C34:D34 C36:D36 C30:D30 C26:D26 C32:D32 C22:D22 C28:D28 C18:D18 C24:D24 C42:D42 C20:D20 C16:D16 C46:D46">
      <formula1>-1.5</formula1>
      <formula2>0</formula2>
    </dataValidation>
  </dataValidations>
  <printOptions horizontalCentered="1"/>
  <pageMargins left="0.75" right="0.75" top="1" bottom="1" header="0.5" footer="0.5"/>
  <pageSetup fitToHeight="1" fitToWidth="1" horizontalDpi="360" verticalDpi="360" orientation="landscape" scale="47" r:id="rId4"/>
  <headerFooter alignWithMargins="0">
    <oddFooter>&amp;L&amp;8c2000:&amp;F:&amp;A&amp;CPage &amp;P de &amp;N&amp;R&amp;8&amp;D@&amp;T</oddFooter>
  </headerFooter>
  <drawing r:id="rId3"/>
  <legacyDrawing r:id="rId2"/>
  <oleObjects>
    <oleObject progId="Word.Document.8" shapeId="391767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4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15.421875" style="0" customWidth="1"/>
    <col min="3" max="3" width="8.28125" style="0" bestFit="1" customWidth="1"/>
    <col min="4" max="4" width="2.140625" style="0" customWidth="1"/>
    <col min="5" max="5" width="8.57421875" style="0" bestFit="1" customWidth="1"/>
    <col min="6" max="6" width="2.140625" style="0" customWidth="1"/>
    <col min="7" max="7" width="8.7109375" style="0" customWidth="1"/>
    <col min="8" max="8" width="18.7109375" style="0" customWidth="1"/>
    <col min="9" max="9" width="2.140625" style="0" customWidth="1"/>
    <col min="10" max="10" width="9.140625" style="0" customWidth="1"/>
    <col min="11" max="11" width="13.00390625" style="0" customWidth="1"/>
    <col min="12" max="16384" width="9.140625" style="0" customWidth="1"/>
  </cols>
  <sheetData>
    <row r="1" ht="18">
      <c r="H1" s="17" t="s">
        <v>33</v>
      </c>
    </row>
    <row r="2" ht="18">
      <c r="H2" s="17"/>
    </row>
    <row r="3" ht="18">
      <c r="H3" s="17" t="s">
        <v>0</v>
      </c>
    </row>
    <row r="4" ht="18">
      <c r="H4" s="17" t="s">
        <v>51</v>
      </c>
    </row>
    <row r="5" ht="18">
      <c r="H5" s="17" t="s">
        <v>52</v>
      </c>
    </row>
    <row r="6" ht="18">
      <c r="H6" s="27" t="s">
        <v>54</v>
      </c>
    </row>
    <row r="7" ht="18">
      <c r="H7" s="17"/>
    </row>
    <row r="9" ht="18">
      <c r="H9" s="18" t="s">
        <v>4</v>
      </c>
    </row>
    <row r="10" ht="18">
      <c r="H10" s="18" t="s">
        <v>53</v>
      </c>
    </row>
    <row r="11" ht="18">
      <c r="H11" s="18"/>
    </row>
    <row r="12" ht="18">
      <c r="H12" s="18"/>
    </row>
    <row r="14" spans="2:10" ht="12.75">
      <c r="B14" s="16" t="s">
        <v>14</v>
      </c>
      <c r="J14" s="16" t="s">
        <v>15</v>
      </c>
    </row>
    <row r="15" spans="2:12" ht="12.75">
      <c r="B15" t="s">
        <v>16</v>
      </c>
      <c r="D15" t="s">
        <v>35</v>
      </c>
      <c r="H15" t="s">
        <v>36</v>
      </c>
      <c r="J15" t="s">
        <v>17</v>
      </c>
      <c r="L15" s="1" t="s">
        <v>57</v>
      </c>
    </row>
    <row r="16" spans="2:13" ht="12.75">
      <c r="B16" t="s">
        <v>18</v>
      </c>
      <c r="D16" s="63"/>
      <c r="E16" s="63"/>
      <c r="F16" s="63"/>
      <c r="G16" s="63"/>
      <c r="H16" t="s">
        <v>34</v>
      </c>
      <c r="J16" t="s">
        <v>19</v>
      </c>
      <c r="L16" s="26"/>
      <c r="M16" t="s">
        <v>20</v>
      </c>
    </row>
    <row r="17" spans="2:13" ht="12.75">
      <c r="B17" t="s">
        <v>21</v>
      </c>
      <c r="D17" t="s">
        <v>55</v>
      </c>
      <c r="H17" t="s">
        <v>56</v>
      </c>
      <c r="J17" t="s">
        <v>22</v>
      </c>
      <c r="L17" s="26"/>
      <c r="M17" t="s">
        <v>20</v>
      </c>
    </row>
    <row r="18" spans="10:13" ht="12.75">
      <c r="J18" t="s">
        <v>50</v>
      </c>
      <c r="L18" s="63">
        <v>80</v>
      </c>
      <c r="M18" t="s">
        <v>20</v>
      </c>
    </row>
    <row r="20" spans="10:12" ht="12.75">
      <c r="J20" t="s">
        <v>23</v>
      </c>
      <c r="L20" s="1" t="s">
        <v>24</v>
      </c>
    </row>
    <row r="22" spans="2:12" ht="12.75">
      <c r="B22" t="s">
        <v>25</v>
      </c>
      <c r="D22" s="63"/>
      <c r="E22" s="63"/>
      <c r="F22" s="63"/>
      <c r="G22" s="63"/>
      <c r="H22" t="s">
        <v>56</v>
      </c>
      <c r="J22" t="s">
        <v>26</v>
      </c>
      <c r="L22" s="26">
        <v>17</v>
      </c>
    </row>
    <row r="24" spans="2:13" ht="12.75">
      <c r="B24" t="s">
        <v>27</v>
      </c>
      <c r="D24" s="64"/>
      <c r="E24" s="64"/>
      <c r="F24" s="64"/>
      <c r="G24" s="64"/>
      <c r="H24" t="s">
        <v>56</v>
      </c>
      <c r="I24" s="23"/>
      <c r="J24" s="64"/>
      <c r="K24" s="64"/>
      <c r="L24" s="63"/>
      <c r="M24" t="s">
        <v>56</v>
      </c>
    </row>
    <row r="25" spans="4:13" ht="12.75">
      <c r="D25" s="64"/>
      <c r="E25" s="64"/>
      <c r="F25" s="64"/>
      <c r="G25" s="64"/>
      <c r="H25" t="s">
        <v>56</v>
      </c>
      <c r="I25" s="23"/>
      <c r="J25" s="64"/>
      <c r="K25" s="64"/>
      <c r="L25" s="63"/>
      <c r="M25" t="s">
        <v>56</v>
      </c>
    </row>
    <row r="26" spans="4:11" ht="12.75">
      <c r="D26" s="23"/>
      <c r="E26" s="23"/>
      <c r="F26" s="23"/>
      <c r="G26" s="23"/>
      <c r="I26" s="25"/>
      <c r="J26" s="23"/>
      <c r="K26" s="23"/>
    </row>
    <row r="27" spans="4:12" ht="12.75">
      <c r="D27" s="23"/>
      <c r="E27" s="23"/>
      <c r="F27" s="23"/>
      <c r="G27" s="23"/>
      <c r="H27" s="24"/>
      <c r="I27" s="25"/>
      <c r="J27" s="23"/>
      <c r="K27" s="23"/>
      <c r="L27" s="23"/>
    </row>
    <row r="28" spans="2:13" ht="12.75">
      <c r="B28" t="s">
        <v>28</v>
      </c>
      <c r="D28" s="63" t="s">
        <v>37</v>
      </c>
      <c r="E28" s="63"/>
      <c r="F28" s="26"/>
      <c r="G28" s="26"/>
      <c r="J28" t="s">
        <v>29</v>
      </c>
      <c r="L28" s="63"/>
      <c r="M28" t="s">
        <v>30</v>
      </c>
    </row>
    <row r="29" spans="4:13" ht="12.75">
      <c r="D29" s="26"/>
      <c r="E29" s="26"/>
      <c r="F29" s="26"/>
      <c r="G29" s="26"/>
      <c r="J29" t="s">
        <v>31</v>
      </c>
      <c r="L29" s="63"/>
      <c r="M29" t="s">
        <v>30</v>
      </c>
    </row>
    <row r="30" spans="4:12" ht="12.75">
      <c r="D30" s="26"/>
      <c r="E30" s="26"/>
      <c r="F30" s="26"/>
      <c r="G30" s="26"/>
      <c r="L30" s="26"/>
    </row>
    <row r="31" spans="4:12" ht="12.75">
      <c r="D31" s="26"/>
      <c r="E31" s="26"/>
      <c r="F31" s="26"/>
      <c r="G31" s="26"/>
      <c r="L31" s="26"/>
    </row>
    <row r="32" spans="4:12" ht="12.75">
      <c r="D32" s="26"/>
      <c r="E32" s="26"/>
      <c r="F32" s="26"/>
      <c r="G32" s="26"/>
      <c r="L32" s="26"/>
    </row>
    <row r="34" spans="2:13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2:13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9" spans="3:10" ht="12.75">
      <c r="C39" s="43" t="s">
        <v>32</v>
      </c>
      <c r="E39" s="44" t="s">
        <v>1</v>
      </c>
      <c r="G39" s="45" t="s">
        <v>2</v>
      </c>
      <c r="H39" s="15"/>
      <c r="I39" s="6"/>
      <c r="J39" s="45" t="s">
        <v>3</v>
      </c>
    </row>
    <row r="40" spans="3:10" ht="12.75">
      <c r="C40" s="14">
        <v>1</v>
      </c>
      <c r="E40" s="14">
        <f>IF(LEN(Éliminations!R31)&lt;4,"",LEFT(Éliminations!R31,FIND("-",Éliminations!R31)-1))</f>
      </c>
      <c r="F40" s="14"/>
      <c r="G40">
        <f>IF(LEN(Éliminations!R31)&lt;4,"",RIGHT(Éliminations!R31,LEN(Éliminations!R31)-FIND("-",Éliminations!R31)-1))</f>
      </c>
      <c r="J40">
        <f>VLOOKUP(G40,Sélections!$F$17:$H$32,3,FALSE)</f>
      </c>
    </row>
    <row r="41" spans="3:10" ht="12.75">
      <c r="C41" s="14">
        <v>2</v>
      </c>
      <c r="E41" s="14">
        <f>IF(LEN(Éliminations!R31)&lt;4,"",IF(Éliminations!R31=Éliminations!N23,LEFT(Éliminations!N39,FIND("-",Éliminations!N39)-1),LEFT(Éliminations!N23,FIND("-",Éliminations!N23)-1)))</f>
      </c>
      <c r="F41" s="14"/>
      <c r="G41">
        <f>IF(LEN(Éliminations!R31)&lt;4,"",IF(Éliminations!R31=Éliminations!N23,RIGHT(Éliminations!N39,LEN(Éliminations!N39)-FIND("-",Éliminations!N39)-1),RIGHT(Éliminations!N23,LEN(Éliminations!N23)-FIND("-",Éliminations!N23)-1)))</f>
      </c>
      <c r="J41">
        <f>VLOOKUP(G41,Sélections!$F$17:$H$32,3,FALSE)</f>
      </c>
    </row>
    <row r="42" spans="3:10" ht="12.75">
      <c r="C42" s="14">
        <v>3</v>
      </c>
      <c r="E42" s="14">
        <f>IF(LEN(Éliminations!R31)&lt;4,"",LEFT(Éliminations!R45,FIND("-",Éliminations!R45)-1))</f>
      </c>
      <c r="F42" s="14"/>
      <c r="G42">
        <f>IF(LEN(Éliminations!R31)&lt;4,"",RIGHT(Éliminations!R45,LEN(Éliminations!R45)-FIND("-",Éliminations!R45)-1))</f>
      </c>
      <c r="J42">
        <f>VLOOKUP(G42,Sélections!$F$17:$H$32,3,FALSE)</f>
      </c>
    </row>
    <row r="43" spans="3:10" ht="12.75">
      <c r="C43" s="14">
        <v>4</v>
      </c>
      <c r="E43" s="14">
        <f>IF(LEN(Éliminations!R31)&lt;4,"",IF(Éliminations!R45=Éliminations!N44,LEFT(Éliminations!N46,FIND("-",Éliminations!N46)-1),LEFT(Éliminations!N46,FIND("-",Éliminations!N46)-1)))</f>
      </c>
      <c r="F43" s="14"/>
      <c r="G43">
        <f>IF(LEN(Éliminations!R31)&lt;4,"",IF(Éliminations!R45=Éliminations!N44,RIGHT(Éliminations!N46,LEN(Éliminations!N46)-FIND("-",Éliminations!N46)-1),RIGHT(Éliminations!N44,LEN(Éliminations!N44)-FIND("-",Éliminations!N44)-1)))</f>
      </c>
      <c r="J43">
        <f>VLOOKUP(G43,Sélections!$F$17:$H$32,3,FALSE)</f>
      </c>
    </row>
    <row r="44" spans="3:6" s="26" customFormat="1" ht="12.75">
      <c r="C44" s="62"/>
      <c r="E44" s="62"/>
      <c r="F44" s="62"/>
    </row>
    <row r="45" spans="3:6" s="26" customFormat="1" ht="12.75">
      <c r="C45" s="62"/>
      <c r="E45" s="62"/>
      <c r="F45" s="62"/>
    </row>
    <row r="46" spans="3:6" s="26" customFormat="1" ht="12.75">
      <c r="C46" s="62"/>
      <c r="E46" s="62"/>
      <c r="F46" s="62"/>
    </row>
    <row r="47" spans="3:6" s="26" customFormat="1" ht="12.75">
      <c r="C47" s="62"/>
      <c r="E47" s="62"/>
      <c r="F47" s="62"/>
    </row>
    <row r="48" spans="3:6" ht="12.75">
      <c r="C48" s="14"/>
      <c r="E48" s="14"/>
      <c r="F48" s="14"/>
    </row>
    <row r="49" spans="3:6" ht="12.75">
      <c r="C49" s="14"/>
      <c r="E49" s="14"/>
      <c r="F49" s="14"/>
    </row>
    <row r="50" spans="2:13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printOptions horizontalCentered="1"/>
  <pageMargins left="0.75" right="0.75" top="1" bottom="1" header="0.5" footer="0.5"/>
  <pageSetup fitToHeight="1" fitToWidth="1" horizontalDpi="300" verticalDpi="300" orientation="portrait" scale="82" r:id="rId4"/>
  <headerFooter alignWithMargins="0">
    <oddFooter>&amp;L&amp;8c2000:&amp;F:&amp;A&amp;CPage &amp;P de &amp;N&amp;R&amp;8&amp;D@&amp;T</oddFooter>
  </headerFooter>
  <drawing r:id="rId3"/>
  <legacyDrawing r:id="rId2"/>
  <oleObjects>
    <oleObject progId="Word.Document.8" shapeId="39053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camille.courchesne@videotron.ca</Manager>
  <Company>Zone de ski de l'Estrie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DualMaster v1.5</dc:title>
  <dc:subject>Course parallèle - 11-12 ans @ Sutton - 20-février-2000</dc:subject>
  <dc:creator>Camille Courchesne - 514.941.6499</dc:creator>
  <cp:keywords/>
  <dc:description/>
  <cp:lastModifiedBy>Camille Courchesne</cp:lastModifiedBy>
  <cp:lastPrinted>2001-02-09T04:23:49Z</cp:lastPrinted>
  <dcterms:created xsi:type="dcterms:W3CDTF">1999-01-25T13:57:51Z</dcterms:created>
  <dcterms:modified xsi:type="dcterms:W3CDTF">2003-02-20T21:23:45Z</dcterms:modified>
  <cp:category/>
  <cp:version/>
  <cp:contentType/>
  <cp:contentStatus/>
</cp:coreProperties>
</file>